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wnofatlanticbeachsccom-my.sharepoint.com/personal/cheryl_townofatlanticbeachsc_com/Documents/"/>
    </mc:Choice>
  </mc:AlternateContent>
  <xr:revisionPtr revIDLastSave="0" documentId="8_{6D2121C7-4D12-4A96-968D-B5C82679EC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" sheetId="1" r:id="rId1"/>
    <sheet name="Payroll" sheetId="2" r:id="rId2"/>
    <sheet name="Public" sheetId="4" r:id="rId3"/>
  </sheets>
  <definedNames>
    <definedName name="_xlnm.Print_Titles" localSheetId="0">Budget!$5:$6</definedName>
    <definedName name="_xlnm.Print_Titles" localSheetId="2">Public!$4:$4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2" l="1"/>
  <c r="D14" i="2"/>
  <c r="D13" i="2"/>
  <c r="D12" i="2"/>
  <c r="D33" i="2"/>
  <c r="D34" i="2"/>
  <c r="F22" i="2" l="1"/>
  <c r="F15" i="2"/>
  <c r="F14" i="2"/>
  <c r="F13" i="2"/>
  <c r="F12" i="2"/>
  <c r="S15" i="2" l="1"/>
  <c r="R15" i="2"/>
  <c r="C15" i="2"/>
  <c r="S14" i="2"/>
  <c r="R14" i="2"/>
  <c r="S13" i="2"/>
  <c r="R13" i="2"/>
  <c r="S10" i="2"/>
  <c r="R10" i="2"/>
  <c r="R11" i="2"/>
  <c r="T11" i="2" s="1"/>
  <c r="R19" i="2"/>
  <c r="T12" i="2"/>
  <c r="R12" i="2"/>
  <c r="S12" i="2"/>
  <c r="S19" i="2"/>
  <c r="S11" i="2"/>
  <c r="K38" i="2"/>
  <c r="E30" i="2"/>
  <c r="C19" i="2"/>
  <c r="C14" i="2"/>
  <c r="C13" i="2"/>
  <c r="C12" i="2"/>
  <c r="B19" i="2"/>
  <c r="E16" i="2"/>
  <c r="E38" i="2" s="1"/>
  <c r="T19" i="2" l="1"/>
  <c r="M51" i="1" l="1"/>
  <c r="K64" i="1"/>
  <c r="K119" i="1"/>
  <c r="K52" i="1"/>
  <c r="M52" i="1" s="1"/>
  <c r="K51" i="1"/>
  <c r="E52" i="1"/>
  <c r="K158" i="1"/>
  <c r="G119" i="1"/>
  <c r="E119" i="1"/>
  <c r="N106" i="1"/>
  <c r="I34" i="2"/>
  <c r="G34" i="2"/>
  <c r="I36" i="2"/>
  <c r="L66" i="1"/>
  <c r="O22" i="2"/>
  <c r="N102" i="1"/>
  <c r="D19" i="2"/>
  <c r="N99" i="1"/>
  <c r="N98" i="1"/>
  <c r="O10" i="2"/>
  <c r="P10" i="2"/>
  <c r="K10" i="2" s="1"/>
  <c r="O15" i="2"/>
  <c r="P15" i="2" s="1"/>
  <c r="O11" i="2"/>
  <c r="P11" i="2" s="1"/>
  <c r="O12" i="2"/>
  <c r="P12" i="2" s="1"/>
  <c r="K12" i="2" s="1"/>
  <c r="O13" i="2"/>
  <c r="O14" i="2"/>
  <c r="P14" i="2" s="1"/>
  <c r="K14" i="2" s="1"/>
  <c r="O26" i="2"/>
  <c r="P26" i="2" s="1"/>
  <c r="D11" i="2"/>
  <c r="I11" i="2" s="1"/>
  <c r="I10" i="2"/>
  <c r="M159" i="1"/>
  <c r="N153" i="1"/>
  <c r="K135" i="1"/>
  <c r="L134" i="1"/>
  <c r="N134" i="1"/>
  <c r="E129" i="1"/>
  <c r="G129" i="1"/>
  <c r="L132" i="1"/>
  <c r="M132" i="1" s="1"/>
  <c r="M131" i="1"/>
  <c r="M130" i="1"/>
  <c r="M129" i="1"/>
  <c r="N126" i="1"/>
  <c r="L126" i="1"/>
  <c r="L124" i="1"/>
  <c r="K92" i="1"/>
  <c r="L92" i="1" s="1"/>
  <c r="L122" i="1"/>
  <c r="L120" i="1"/>
  <c r="N118" i="1"/>
  <c r="L112" i="1"/>
  <c r="N105" i="1"/>
  <c r="L105" i="1"/>
  <c r="N103" i="1"/>
  <c r="N101" i="1"/>
  <c r="L102" i="1"/>
  <c r="L101" i="1"/>
  <c r="L96" i="1"/>
  <c r="L94" i="1"/>
  <c r="L91" i="1"/>
  <c r="L90" i="1"/>
  <c r="L89" i="1"/>
  <c r="L88" i="1"/>
  <c r="L83" i="1"/>
  <c r="L80" i="1"/>
  <c r="L74" i="1"/>
  <c r="L72" i="1"/>
  <c r="L71" i="1"/>
  <c r="K13" i="2" l="1"/>
  <c r="P13" i="2"/>
  <c r="K11" i="2"/>
  <c r="K26" i="2"/>
  <c r="K15" i="2"/>
  <c r="P22" i="2"/>
  <c r="K22" i="2" s="1"/>
  <c r="L34" i="2"/>
  <c r="H34" i="2"/>
  <c r="J34" i="2"/>
  <c r="J11" i="2"/>
  <c r="G11" i="2"/>
  <c r="M66" i="1"/>
  <c r="L65" i="1"/>
  <c r="M65" i="1" s="1"/>
  <c r="L64" i="1"/>
  <c r="L69" i="1"/>
  <c r="M69" i="1" s="1"/>
  <c r="M168" i="1"/>
  <c r="M167" i="1"/>
  <c r="M166" i="1"/>
  <c r="M165" i="1"/>
  <c r="M164" i="1"/>
  <c r="M163" i="1"/>
  <c r="M162" i="1"/>
  <c r="M161" i="1"/>
  <c r="M160" i="1"/>
  <c r="M158" i="1"/>
  <c r="M157" i="1"/>
  <c r="M156" i="1"/>
  <c r="M155" i="1"/>
  <c r="M154" i="1"/>
  <c r="M153" i="1"/>
  <c r="M151" i="1"/>
  <c r="M150" i="1"/>
  <c r="M148" i="1"/>
  <c r="M147" i="1"/>
  <c r="M145" i="1"/>
  <c r="M143" i="1"/>
  <c r="M142" i="1"/>
  <c r="M140" i="1"/>
  <c r="M139" i="1"/>
  <c r="M138" i="1"/>
  <c r="M136" i="1"/>
  <c r="M135" i="1"/>
  <c r="M134" i="1"/>
  <c r="M128" i="1"/>
  <c r="M127" i="1"/>
  <c r="M126" i="1"/>
  <c r="M125" i="1"/>
  <c r="M124" i="1"/>
  <c r="M123" i="1"/>
  <c r="M122" i="1"/>
  <c r="M121" i="1"/>
  <c r="M120" i="1"/>
  <c r="M118" i="1"/>
  <c r="M116" i="1"/>
  <c r="M115" i="1"/>
  <c r="M114" i="1"/>
  <c r="M113" i="1"/>
  <c r="M112" i="1"/>
  <c r="M111" i="1"/>
  <c r="M110" i="1"/>
  <c r="M108" i="1"/>
  <c r="M107" i="1"/>
  <c r="M106" i="1"/>
  <c r="M105" i="1"/>
  <c r="M104" i="1"/>
  <c r="M103" i="1"/>
  <c r="M102" i="1"/>
  <c r="M101" i="1"/>
  <c r="M99" i="1"/>
  <c r="M98" i="1"/>
  <c r="M96" i="1"/>
  <c r="M95" i="1"/>
  <c r="M94" i="1"/>
  <c r="M93" i="1"/>
  <c r="M92" i="1"/>
  <c r="M91" i="1"/>
  <c r="M90" i="1"/>
  <c r="M89" i="1"/>
  <c r="M88" i="1"/>
  <c r="M86" i="1"/>
  <c r="M85" i="1"/>
  <c r="M83" i="1"/>
  <c r="M82" i="1"/>
  <c r="M81" i="1"/>
  <c r="M80" i="1"/>
  <c r="M79" i="1"/>
  <c r="M77" i="1"/>
  <c r="M75" i="1"/>
  <c r="M74" i="1"/>
  <c r="M73" i="1"/>
  <c r="M72" i="1"/>
  <c r="M71" i="1"/>
  <c r="M68" i="1"/>
  <c r="M67" i="1"/>
  <c r="K152" i="1"/>
  <c r="K149" i="1"/>
  <c r="K137" i="1"/>
  <c r="K133" i="1"/>
  <c r="M58" i="1"/>
  <c r="G58" i="1"/>
  <c r="K169" i="1"/>
  <c r="K146" i="1"/>
  <c r="K144" i="1"/>
  <c r="K141" i="1"/>
  <c r="K117" i="1"/>
  <c r="K109" i="1"/>
  <c r="K97" i="1"/>
  <c r="K100" i="1"/>
  <c r="K87" i="1"/>
  <c r="K84" i="1"/>
  <c r="K78" i="1"/>
  <c r="K76" i="1"/>
  <c r="K70" i="1"/>
  <c r="I147" i="1"/>
  <c r="L32" i="1"/>
  <c r="N32" i="1"/>
  <c r="I84" i="1"/>
  <c r="H11" i="2" l="1"/>
  <c r="L11" i="2"/>
  <c r="L70" i="1"/>
  <c r="J70" i="1"/>
  <c r="M64" i="1"/>
  <c r="K170" i="1"/>
  <c r="L50" i="1"/>
  <c r="L39" i="1"/>
  <c r="L38" i="1"/>
  <c r="M15" i="1"/>
  <c r="M14" i="1"/>
  <c r="M13" i="1"/>
  <c r="N169" i="1" l="1"/>
  <c r="N152" i="1"/>
  <c r="N149" i="1"/>
  <c r="N146" i="1"/>
  <c r="N144" i="1"/>
  <c r="N137" i="1"/>
  <c r="N133" i="1"/>
  <c r="N117" i="1"/>
  <c r="N109" i="1"/>
  <c r="N100" i="1"/>
  <c r="N97" i="1"/>
  <c r="N87" i="1"/>
  <c r="N84" i="1"/>
  <c r="N78" i="1"/>
  <c r="N76" i="1"/>
  <c r="N60" i="1"/>
  <c r="N48" i="1"/>
  <c r="N45" i="1"/>
  <c r="N37" i="1"/>
  <c r="N27" i="1"/>
  <c r="N16" i="1"/>
  <c r="N12" i="1"/>
  <c r="M59" i="1"/>
  <c r="M54" i="1"/>
  <c r="M57" i="1"/>
  <c r="M56" i="1"/>
  <c r="M55" i="1"/>
  <c r="M53" i="1"/>
  <c r="M50" i="1"/>
  <c r="M46" i="1"/>
  <c r="M47" i="1"/>
  <c r="M44" i="1"/>
  <c r="M43" i="1"/>
  <c r="M42" i="1"/>
  <c r="L37" i="1"/>
  <c r="M32" i="1"/>
  <c r="M8" i="1"/>
  <c r="M26" i="1"/>
  <c r="M25" i="1"/>
  <c r="M24" i="1"/>
  <c r="M23" i="1"/>
  <c r="M22" i="1"/>
  <c r="M21" i="1"/>
  <c r="M20" i="1"/>
  <c r="M19" i="1"/>
  <c r="M17" i="1"/>
  <c r="M36" i="1"/>
  <c r="M35" i="1"/>
  <c r="M34" i="1"/>
  <c r="M33" i="1"/>
  <c r="M31" i="1"/>
  <c r="M30" i="1"/>
  <c r="M28" i="1"/>
  <c r="M40" i="1"/>
  <c r="M39" i="1"/>
  <c r="N41" i="1" s="1"/>
  <c r="L41" i="1"/>
  <c r="M18" i="1"/>
  <c r="L60" i="1"/>
  <c r="L45" i="1"/>
  <c r="L16" i="1"/>
  <c r="L12" i="1"/>
  <c r="K11" i="1"/>
  <c r="M11" i="1" s="1"/>
  <c r="K10" i="1"/>
  <c r="M10" i="1" s="1"/>
  <c r="K9" i="1"/>
  <c r="M9" i="1" s="1"/>
  <c r="N61" i="1" l="1"/>
  <c r="M38" i="1"/>
  <c r="L48" i="1"/>
  <c r="M29" i="1"/>
  <c r="L27" i="1"/>
  <c r="J159" i="1"/>
  <c r="J157" i="1"/>
  <c r="J152" i="1"/>
  <c r="J149" i="1"/>
  <c r="J146" i="1"/>
  <c r="J143" i="1"/>
  <c r="J144" i="1" s="1"/>
  <c r="J141" i="1"/>
  <c r="J137" i="1"/>
  <c r="J133" i="1"/>
  <c r="J117" i="1"/>
  <c r="J105" i="1"/>
  <c r="J103" i="1"/>
  <c r="J101" i="1"/>
  <c r="J99" i="1"/>
  <c r="J98" i="1"/>
  <c r="J87" i="1"/>
  <c r="J84" i="1"/>
  <c r="J78" i="1"/>
  <c r="J76" i="1"/>
  <c r="J60" i="1"/>
  <c r="J48" i="1"/>
  <c r="J45" i="1"/>
  <c r="J41" i="1"/>
  <c r="J32" i="1"/>
  <c r="J37" i="1" s="1"/>
  <c r="J27" i="1"/>
  <c r="J16" i="1"/>
  <c r="J12" i="1"/>
  <c r="L67" i="4"/>
  <c r="U67" i="4" s="1"/>
  <c r="V159" i="4"/>
  <c r="V158" i="4"/>
  <c r="V157" i="4"/>
  <c r="V156" i="4"/>
  <c r="V155" i="4"/>
  <c r="V154" i="4"/>
  <c r="V153" i="4"/>
  <c r="V151" i="4"/>
  <c r="V149" i="4"/>
  <c r="V148" i="4"/>
  <c r="V147" i="4"/>
  <c r="V146" i="4"/>
  <c r="V144" i="4"/>
  <c r="V143" i="4"/>
  <c r="V141" i="4"/>
  <c r="V140" i="4"/>
  <c r="V138" i="4"/>
  <c r="V135" i="4"/>
  <c r="V132" i="4"/>
  <c r="V131" i="4"/>
  <c r="V129" i="4"/>
  <c r="V128" i="4"/>
  <c r="S147" i="4"/>
  <c r="U147" i="4" s="1"/>
  <c r="O160" i="4"/>
  <c r="O145" i="4"/>
  <c r="O142" i="4"/>
  <c r="O139" i="4"/>
  <c r="O137" i="4"/>
  <c r="O134" i="4"/>
  <c r="O130" i="4"/>
  <c r="O127" i="4"/>
  <c r="O112" i="4"/>
  <c r="O104" i="4"/>
  <c r="O96" i="4"/>
  <c r="O93" i="4"/>
  <c r="O83" i="4"/>
  <c r="O80" i="4"/>
  <c r="O74" i="4"/>
  <c r="O72" i="4"/>
  <c r="O66" i="4"/>
  <c r="P119" i="4"/>
  <c r="P127" i="4" s="1"/>
  <c r="S127" i="4"/>
  <c r="U114" i="4"/>
  <c r="D29" i="2"/>
  <c r="D28" i="2"/>
  <c r="D27" i="2"/>
  <c r="I27" i="2" s="1"/>
  <c r="D26" i="2"/>
  <c r="I26" i="2" s="1"/>
  <c r="D25" i="2"/>
  <c r="U159" i="4"/>
  <c r="U158" i="4"/>
  <c r="U157" i="4"/>
  <c r="U156" i="4"/>
  <c r="U155" i="4"/>
  <c r="U154" i="4"/>
  <c r="U153" i="4"/>
  <c r="U151" i="4"/>
  <c r="U149" i="4"/>
  <c r="U148" i="4"/>
  <c r="U146" i="4"/>
  <c r="U144" i="4"/>
  <c r="U143" i="4"/>
  <c r="U141" i="4"/>
  <c r="U140" i="4"/>
  <c r="U138" i="4"/>
  <c r="U135" i="4"/>
  <c r="U132" i="4"/>
  <c r="U131" i="4"/>
  <c r="U129" i="4"/>
  <c r="U128" i="4"/>
  <c r="U126" i="4"/>
  <c r="U125" i="4"/>
  <c r="U124" i="4"/>
  <c r="U123" i="4"/>
  <c r="U122" i="4"/>
  <c r="U120" i="4"/>
  <c r="U118" i="4"/>
  <c r="U117" i="4"/>
  <c r="U116" i="4"/>
  <c r="U113" i="4"/>
  <c r="U111" i="4"/>
  <c r="U110" i="4"/>
  <c r="U109" i="4"/>
  <c r="U108" i="4"/>
  <c r="U107" i="4"/>
  <c r="U106" i="4"/>
  <c r="U105" i="4"/>
  <c r="U103" i="4"/>
  <c r="U101" i="4"/>
  <c r="U99" i="4"/>
  <c r="U82" i="4"/>
  <c r="U81" i="4"/>
  <c r="U79" i="4"/>
  <c r="U78" i="4"/>
  <c r="U77" i="4"/>
  <c r="U76" i="4"/>
  <c r="U75" i="4"/>
  <c r="U73" i="4"/>
  <c r="U71" i="4"/>
  <c r="U69" i="4"/>
  <c r="U68" i="4"/>
  <c r="U63" i="4"/>
  <c r="U59" i="4"/>
  <c r="U115" i="4"/>
  <c r="T66" i="4"/>
  <c r="T160" i="4"/>
  <c r="T145" i="4"/>
  <c r="T142" i="4"/>
  <c r="T139" i="4"/>
  <c r="T137" i="4"/>
  <c r="T134" i="4"/>
  <c r="T130" i="4"/>
  <c r="T127" i="4"/>
  <c r="T112" i="4"/>
  <c r="T104" i="4"/>
  <c r="T96" i="4"/>
  <c r="T93" i="4"/>
  <c r="T83" i="4"/>
  <c r="T80" i="4"/>
  <c r="T74" i="4"/>
  <c r="T72" i="4"/>
  <c r="P102" i="4"/>
  <c r="U102" i="4" s="1"/>
  <c r="Q104" i="4"/>
  <c r="Q66" i="4"/>
  <c r="Q160" i="4"/>
  <c r="Q145" i="4"/>
  <c r="Q142" i="4"/>
  <c r="Q139" i="4"/>
  <c r="Q137" i="4"/>
  <c r="Q134" i="4"/>
  <c r="Q130" i="4"/>
  <c r="Q127" i="4"/>
  <c r="Q112" i="4"/>
  <c r="Q96" i="4"/>
  <c r="Q83" i="4"/>
  <c r="Q80" i="4"/>
  <c r="Q74" i="4"/>
  <c r="Q72" i="4"/>
  <c r="S145" i="4"/>
  <c r="S142" i="4"/>
  <c r="S139" i="4"/>
  <c r="S137" i="4"/>
  <c r="S130" i="4"/>
  <c r="S112" i="4"/>
  <c r="S104" i="4"/>
  <c r="S83" i="4"/>
  <c r="S80" i="4"/>
  <c r="S74" i="4"/>
  <c r="S72" i="4"/>
  <c r="R160" i="4"/>
  <c r="R145" i="4"/>
  <c r="R142" i="4"/>
  <c r="R139" i="4"/>
  <c r="R137" i="4"/>
  <c r="R130" i="4"/>
  <c r="R127" i="4"/>
  <c r="R112" i="4"/>
  <c r="R83" i="4"/>
  <c r="R80" i="4"/>
  <c r="R74" i="4"/>
  <c r="P160" i="4"/>
  <c r="P145" i="4"/>
  <c r="P142" i="4"/>
  <c r="P139" i="4"/>
  <c r="P130" i="4"/>
  <c r="P112" i="4"/>
  <c r="P96" i="4"/>
  <c r="P83" i="4"/>
  <c r="P80" i="4"/>
  <c r="P74" i="4"/>
  <c r="N145" i="4"/>
  <c r="N142" i="4"/>
  <c r="N139" i="4"/>
  <c r="N137" i="4"/>
  <c r="N134" i="4"/>
  <c r="N130" i="4"/>
  <c r="N127" i="4"/>
  <c r="N112" i="4"/>
  <c r="N83" i="4"/>
  <c r="N80" i="4"/>
  <c r="N74" i="4"/>
  <c r="N72" i="4"/>
  <c r="F161" i="4"/>
  <c r="D161" i="4"/>
  <c r="I160" i="4"/>
  <c r="K159" i="4"/>
  <c r="E159" i="4"/>
  <c r="K158" i="4"/>
  <c r="G158" i="4"/>
  <c r="K157" i="4"/>
  <c r="G157" i="4"/>
  <c r="E157" i="4"/>
  <c r="K156" i="4"/>
  <c r="G156" i="4"/>
  <c r="K155" i="4"/>
  <c r="E155" i="4"/>
  <c r="K154" i="4"/>
  <c r="G154" i="4"/>
  <c r="E154" i="4"/>
  <c r="K153" i="4"/>
  <c r="E153" i="4"/>
  <c r="L152" i="4"/>
  <c r="U152" i="4" s="1"/>
  <c r="K152" i="4"/>
  <c r="G152" i="4"/>
  <c r="E152" i="4"/>
  <c r="K151" i="4"/>
  <c r="G151" i="4"/>
  <c r="E151" i="4"/>
  <c r="L150" i="4"/>
  <c r="U150" i="4" s="1"/>
  <c r="K150" i="4"/>
  <c r="G150" i="4"/>
  <c r="K149" i="4"/>
  <c r="G149" i="4"/>
  <c r="K148" i="4"/>
  <c r="E148" i="4"/>
  <c r="K147" i="4"/>
  <c r="G147" i="4"/>
  <c r="E147" i="4"/>
  <c r="J146" i="4"/>
  <c r="J160" i="4" s="1"/>
  <c r="G146" i="4"/>
  <c r="E146" i="4"/>
  <c r="L145" i="4"/>
  <c r="I145" i="4"/>
  <c r="J144" i="4"/>
  <c r="K144" i="4" s="1"/>
  <c r="K143" i="4"/>
  <c r="G143" i="4"/>
  <c r="G145" i="4" s="1"/>
  <c r="E143" i="4"/>
  <c r="E145" i="4" s="1"/>
  <c r="L142" i="4"/>
  <c r="J142" i="4"/>
  <c r="I142" i="4"/>
  <c r="K141" i="4"/>
  <c r="K142" i="4" s="1"/>
  <c r="G141" i="4"/>
  <c r="G142" i="4" s="1"/>
  <c r="E141" i="4"/>
  <c r="E142" i="4" s="1"/>
  <c r="K140" i="4"/>
  <c r="L139" i="4"/>
  <c r="J139" i="4"/>
  <c r="I139" i="4"/>
  <c r="K138" i="4"/>
  <c r="K139" i="4" s="1"/>
  <c r="G138" i="4"/>
  <c r="G139" i="4" s="1"/>
  <c r="E138" i="4"/>
  <c r="E139" i="4" s="1"/>
  <c r="L136" i="4"/>
  <c r="L137" i="4" s="1"/>
  <c r="J136" i="4"/>
  <c r="I136" i="4"/>
  <c r="I137" i="4" s="1"/>
  <c r="G136" i="4"/>
  <c r="E136" i="4"/>
  <c r="K135" i="4"/>
  <c r="G135" i="4"/>
  <c r="E135" i="4"/>
  <c r="J134" i="4"/>
  <c r="I134" i="4"/>
  <c r="K133" i="4"/>
  <c r="G133" i="4"/>
  <c r="E133" i="4"/>
  <c r="K132" i="4"/>
  <c r="G132" i="4"/>
  <c r="E132" i="4"/>
  <c r="K131" i="4"/>
  <c r="G131" i="4"/>
  <c r="E131" i="4"/>
  <c r="L130" i="4"/>
  <c r="I130" i="4"/>
  <c r="K129" i="4"/>
  <c r="J128" i="4"/>
  <c r="J130" i="4" s="1"/>
  <c r="G128" i="4"/>
  <c r="G130" i="4" s="1"/>
  <c r="E128" i="4"/>
  <c r="E130" i="4" s="1"/>
  <c r="L127" i="4"/>
  <c r="H127" i="4"/>
  <c r="H161" i="4" s="1"/>
  <c r="J126" i="4"/>
  <c r="K126" i="4" s="1"/>
  <c r="G126" i="4"/>
  <c r="E126" i="4"/>
  <c r="K125" i="4"/>
  <c r="G125" i="4"/>
  <c r="E125" i="4"/>
  <c r="I124" i="4"/>
  <c r="G124" i="4"/>
  <c r="E124" i="4"/>
  <c r="K123" i="4"/>
  <c r="G123" i="4"/>
  <c r="E123" i="4"/>
  <c r="K122" i="4"/>
  <c r="G122" i="4"/>
  <c r="J121" i="4"/>
  <c r="K121" i="4" s="1"/>
  <c r="G121" i="4"/>
  <c r="E121" i="4"/>
  <c r="K120" i="4"/>
  <c r="E120" i="4"/>
  <c r="J119" i="4"/>
  <c r="K119" i="4" s="1"/>
  <c r="G119" i="4"/>
  <c r="E119" i="4"/>
  <c r="K118" i="4"/>
  <c r="G118" i="4"/>
  <c r="J117" i="4"/>
  <c r="K117" i="4" s="1"/>
  <c r="G117" i="4"/>
  <c r="E117" i="4"/>
  <c r="K116" i="4"/>
  <c r="E116" i="4"/>
  <c r="J115" i="4"/>
  <c r="G115" i="4"/>
  <c r="E115" i="4"/>
  <c r="K114" i="4"/>
  <c r="G114" i="4"/>
  <c r="E114" i="4"/>
  <c r="I113" i="4"/>
  <c r="K113" i="4" s="1"/>
  <c r="G113" i="4"/>
  <c r="E113" i="4"/>
  <c r="L112" i="4"/>
  <c r="I112" i="4"/>
  <c r="K111" i="4"/>
  <c r="G111" i="4"/>
  <c r="E111" i="4"/>
  <c r="K110" i="4"/>
  <c r="G110" i="4"/>
  <c r="E110" i="4"/>
  <c r="K109" i="4"/>
  <c r="G109" i="4"/>
  <c r="E109" i="4"/>
  <c r="K108" i="4"/>
  <c r="G108" i="4"/>
  <c r="E108" i="4"/>
  <c r="J107" i="4"/>
  <c r="K107" i="4" s="1"/>
  <c r="G107" i="4"/>
  <c r="E107" i="4"/>
  <c r="K106" i="4"/>
  <c r="G106" i="4"/>
  <c r="E106" i="4"/>
  <c r="J105" i="4"/>
  <c r="K105" i="4" s="1"/>
  <c r="G105" i="4"/>
  <c r="E105" i="4"/>
  <c r="I104" i="4"/>
  <c r="K103" i="4"/>
  <c r="G103" i="4"/>
  <c r="E103" i="4"/>
  <c r="K102" i="4"/>
  <c r="G102" i="4"/>
  <c r="E102" i="4"/>
  <c r="J101" i="4"/>
  <c r="K101" i="4" s="1"/>
  <c r="G101" i="4"/>
  <c r="E101" i="4"/>
  <c r="L100" i="4"/>
  <c r="U100" i="4" s="1"/>
  <c r="J100" i="4"/>
  <c r="K100" i="4" s="1"/>
  <c r="G100" i="4"/>
  <c r="E100" i="4"/>
  <c r="K99" i="4"/>
  <c r="G99" i="4"/>
  <c r="E99" i="4"/>
  <c r="L98" i="4"/>
  <c r="U98" i="4" s="1"/>
  <c r="J98" i="4"/>
  <c r="G98" i="4"/>
  <c r="E98" i="4"/>
  <c r="L97" i="4"/>
  <c r="R97" i="4" s="1"/>
  <c r="U97" i="4" s="1"/>
  <c r="J97" i="4"/>
  <c r="K97" i="4" s="1"/>
  <c r="G97" i="4"/>
  <c r="E97" i="4"/>
  <c r="I96" i="4"/>
  <c r="L95" i="4"/>
  <c r="S95" i="4" s="1"/>
  <c r="U95" i="4" s="1"/>
  <c r="J95" i="4"/>
  <c r="G95" i="4"/>
  <c r="E95" i="4"/>
  <c r="L94" i="4"/>
  <c r="S94" i="4" s="1"/>
  <c r="U94" i="4" s="1"/>
  <c r="J94" i="4"/>
  <c r="K94" i="4" s="1"/>
  <c r="G94" i="4"/>
  <c r="E94" i="4"/>
  <c r="I93" i="4"/>
  <c r="J92" i="4"/>
  <c r="K92" i="4" s="1"/>
  <c r="L92" i="4" s="1"/>
  <c r="S92" i="4" s="1"/>
  <c r="G92" i="4"/>
  <c r="E92" i="4"/>
  <c r="J91" i="4"/>
  <c r="K91" i="4" s="1"/>
  <c r="L91" i="4" s="1"/>
  <c r="G91" i="4"/>
  <c r="E91" i="4"/>
  <c r="J90" i="4"/>
  <c r="K90" i="4" s="1"/>
  <c r="L90" i="4" s="1"/>
  <c r="G90" i="4"/>
  <c r="E90" i="4"/>
  <c r="K89" i="4"/>
  <c r="L89" i="4" s="1"/>
  <c r="E89" i="4"/>
  <c r="J88" i="4"/>
  <c r="K88" i="4" s="1"/>
  <c r="L88" i="4" s="1"/>
  <c r="S88" i="4" s="1"/>
  <c r="G88" i="4"/>
  <c r="E88" i="4"/>
  <c r="J87" i="4"/>
  <c r="K87" i="4" s="1"/>
  <c r="L87" i="4" s="1"/>
  <c r="S87" i="4" s="1"/>
  <c r="G87" i="4"/>
  <c r="E87" i="4"/>
  <c r="J86" i="4"/>
  <c r="K86" i="4" s="1"/>
  <c r="L86" i="4" s="1"/>
  <c r="S86" i="4" s="1"/>
  <c r="G86" i="4"/>
  <c r="E86" i="4"/>
  <c r="J85" i="4"/>
  <c r="G85" i="4"/>
  <c r="E85" i="4"/>
  <c r="J84" i="4"/>
  <c r="K84" i="4" s="1"/>
  <c r="G84" i="4"/>
  <c r="E84" i="4"/>
  <c r="L83" i="4"/>
  <c r="J83" i="4"/>
  <c r="I83" i="4"/>
  <c r="K82" i="4"/>
  <c r="G82" i="4"/>
  <c r="E82" i="4"/>
  <c r="K81" i="4"/>
  <c r="G81" i="4"/>
  <c r="E81" i="4"/>
  <c r="L80" i="4"/>
  <c r="I79" i="4"/>
  <c r="K79" i="4" s="1"/>
  <c r="G79" i="4"/>
  <c r="E79" i="4"/>
  <c r="K78" i="4"/>
  <c r="K77" i="4"/>
  <c r="E77" i="4"/>
  <c r="J76" i="4"/>
  <c r="K76" i="4" s="1"/>
  <c r="G76" i="4"/>
  <c r="E76" i="4"/>
  <c r="K75" i="4"/>
  <c r="E75" i="4"/>
  <c r="L74" i="4"/>
  <c r="J74" i="4"/>
  <c r="I74" i="4"/>
  <c r="K73" i="4"/>
  <c r="K74" i="4" s="1"/>
  <c r="G73" i="4"/>
  <c r="G74" i="4" s="1"/>
  <c r="E73" i="4"/>
  <c r="E74" i="4" s="1"/>
  <c r="I72" i="4"/>
  <c r="J71" i="4"/>
  <c r="G71" i="4"/>
  <c r="E71" i="4"/>
  <c r="K70" i="4"/>
  <c r="L70" i="4" s="1"/>
  <c r="G70" i="4"/>
  <c r="E70" i="4"/>
  <c r="K69" i="4"/>
  <c r="E69" i="4"/>
  <c r="J68" i="4"/>
  <c r="K68" i="4" s="1"/>
  <c r="G68" i="4"/>
  <c r="E68" i="4"/>
  <c r="J67" i="4"/>
  <c r="K67" i="4" s="1"/>
  <c r="G67" i="4"/>
  <c r="E67" i="4"/>
  <c r="I66" i="4"/>
  <c r="J65" i="4"/>
  <c r="K65" i="4" s="1"/>
  <c r="G65" i="4"/>
  <c r="E65" i="4"/>
  <c r="J64" i="4"/>
  <c r="K64" i="4" s="1"/>
  <c r="G64" i="4"/>
  <c r="E64" i="4"/>
  <c r="K63" i="4"/>
  <c r="G62" i="4"/>
  <c r="E62" i="4"/>
  <c r="G61" i="4"/>
  <c r="E61" i="4"/>
  <c r="J60" i="4"/>
  <c r="K60" i="4" s="1"/>
  <c r="G60" i="4"/>
  <c r="E60" i="4"/>
  <c r="F57" i="4"/>
  <c r="D57" i="4"/>
  <c r="L56" i="4"/>
  <c r="J56" i="4"/>
  <c r="I56" i="4"/>
  <c r="K55" i="4"/>
  <c r="G55" i="4"/>
  <c r="K54" i="4"/>
  <c r="G54" i="4"/>
  <c r="K53" i="4"/>
  <c r="G53" i="4"/>
  <c r="E53" i="4"/>
  <c r="K52" i="4"/>
  <c r="E52" i="4"/>
  <c r="K51" i="4"/>
  <c r="E51" i="4"/>
  <c r="K50" i="4"/>
  <c r="G50" i="4"/>
  <c r="K49" i="4"/>
  <c r="G49" i="4"/>
  <c r="E49" i="4"/>
  <c r="K48" i="4"/>
  <c r="E48" i="4"/>
  <c r="L47" i="4"/>
  <c r="I47" i="4"/>
  <c r="K46" i="4"/>
  <c r="G46" i="4"/>
  <c r="E46" i="4"/>
  <c r="J45" i="4"/>
  <c r="J47" i="4" s="1"/>
  <c r="G45" i="4"/>
  <c r="E45" i="4"/>
  <c r="L44" i="4"/>
  <c r="J44" i="4"/>
  <c r="I44" i="4"/>
  <c r="H44" i="4"/>
  <c r="H57" i="4" s="1"/>
  <c r="K43" i="4"/>
  <c r="E43" i="4"/>
  <c r="K42" i="4"/>
  <c r="K41" i="4"/>
  <c r="K40" i="4"/>
  <c r="G40" i="4"/>
  <c r="G44" i="4" s="1"/>
  <c r="E40" i="4"/>
  <c r="L39" i="4"/>
  <c r="I39" i="4"/>
  <c r="K38" i="4"/>
  <c r="G38" i="4"/>
  <c r="E38" i="4"/>
  <c r="J37" i="4"/>
  <c r="K37" i="4" s="1"/>
  <c r="G37" i="4"/>
  <c r="K36" i="4"/>
  <c r="G36" i="4"/>
  <c r="E36" i="4"/>
  <c r="J35" i="4"/>
  <c r="K34" i="4"/>
  <c r="G34" i="4"/>
  <c r="E34" i="4"/>
  <c r="K33" i="4"/>
  <c r="G33" i="4"/>
  <c r="K32" i="4"/>
  <c r="G32" i="4"/>
  <c r="K31" i="4"/>
  <c r="G31" i="4"/>
  <c r="L30" i="4"/>
  <c r="L35" i="4" s="1"/>
  <c r="K30" i="4"/>
  <c r="G30" i="4"/>
  <c r="E30" i="4"/>
  <c r="K29" i="4"/>
  <c r="G29" i="4"/>
  <c r="E29" i="4"/>
  <c r="K28" i="4"/>
  <c r="E28" i="4"/>
  <c r="I27" i="4"/>
  <c r="K27" i="4" s="1"/>
  <c r="G27" i="4"/>
  <c r="E27" i="4"/>
  <c r="K26" i="4"/>
  <c r="G26" i="4"/>
  <c r="E26" i="4"/>
  <c r="L25" i="4"/>
  <c r="J25" i="4"/>
  <c r="I25" i="4"/>
  <c r="K24" i="4"/>
  <c r="E24" i="4"/>
  <c r="K23" i="4"/>
  <c r="G23" i="4"/>
  <c r="E23" i="4"/>
  <c r="K22" i="4"/>
  <c r="G22" i="4"/>
  <c r="E22" i="4"/>
  <c r="K21" i="4"/>
  <c r="G21" i="4"/>
  <c r="E21" i="4"/>
  <c r="K20" i="4"/>
  <c r="G20" i="4"/>
  <c r="E20" i="4"/>
  <c r="K19" i="4"/>
  <c r="G19" i="4"/>
  <c r="E19" i="4"/>
  <c r="K18" i="4"/>
  <c r="G18" i="4"/>
  <c r="E18" i="4"/>
  <c r="K17" i="4"/>
  <c r="G17" i="4"/>
  <c r="E17" i="4"/>
  <c r="K16" i="4"/>
  <c r="G16" i="4"/>
  <c r="E16" i="4"/>
  <c r="K15" i="4"/>
  <c r="G15" i="4"/>
  <c r="E15" i="4"/>
  <c r="L14" i="4"/>
  <c r="J14" i="4"/>
  <c r="K13" i="4"/>
  <c r="G13" i="4"/>
  <c r="E13" i="4"/>
  <c r="K12" i="4"/>
  <c r="G12" i="4"/>
  <c r="E12" i="4"/>
  <c r="I11" i="4"/>
  <c r="K11" i="4" s="1"/>
  <c r="G11" i="4"/>
  <c r="E11" i="4"/>
  <c r="L10" i="4"/>
  <c r="J10" i="4"/>
  <c r="I10" i="4"/>
  <c r="K9" i="4"/>
  <c r="G9" i="4"/>
  <c r="E9" i="4"/>
  <c r="K8" i="4"/>
  <c r="G8" i="4"/>
  <c r="E8" i="4"/>
  <c r="K7" i="4"/>
  <c r="G7" i="4"/>
  <c r="E7" i="4"/>
  <c r="K6" i="4"/>
  <c r="G6" i="4"/>
  <c r="E6" i="4"/>
  <c r="D36" i="2"/>
  <c r="L146" i="1"/>
  <c r="M146" i="1" s="1"/>
  <c r="H133" i="1"/>
  <c r="J100" i="1" l="1"/>
  <c r="L61" i="1"/>
  <c r="J169" i="1"/>
  <c r="J109" i="1"/>
  <c r="J61" i="1"/>
  <c r="O61" i="1" s="1"/>
  <c r="V139" i="4"/>
  <c r="U119" i="4"/>
  <c r="G96" i="4"/>
  <c r="L72" i="4"/>
  <c r="P136" i="4"/>
  <c r="P137" i="4" s="1"/>
  <c r="V150" i="4"/>
  <c r="V152" i="4"/>
  <c r="V136" i="4"/>
  <c r="U137" i="4"/>
  <c r="U130" i="4"/>
  <c r="O161" i="4"/>
  <c r="U112" i="4"/>
  <c r="U139" i="4"/>
  <c r="U145" i="4"/>
  <c r="U92" i="4"/>
  <c r="U136" i="4"/>
  <c r="U142" i="4"/>
  <c r="U121" i="4"/>
  <c r="U83" i="4"/>
  <c r="U80" i="4"/>
  <c r="U74" i="4"/>
  <c r="U70" i="4"/>
  <c r="U86" i="4"/>
  <c r="U87" i="4"/>
  <c r="U88" i="4"/>
  <c r="S90" i="4"/>
  <c r="U90" i="4" s="1"/>
  <c r="U127" i="4"/>
  <c r="T161" i="4"/>
  <c r="E80" i="4"/>
  <c r="E83" i="4"/>
  <c r="L160" i="4"/>
  <c r="S89" i="4"/>
  <c r="U89" i="4" s="1"/>
  <c r="S91" i="4"/>
  <c r="U91" i="4" s="1"/>
  <c r="K128" i="4"/>
  <c r="K130" i="4" s="1"/>
  <c r="Q93" i="4"/>
  <c r="P93" i="4"/>
  <c r="N93" i="4"/>
  <c r="E134" i="4"/>
  <c r="S96" i="4"/>
  <c r="G83" i="4"/>
  <c r="S160" i="4"/>
  <c r="G80" i="4"/>
  <c r="L96" i="4"/>
  <c r="N96" i="4"/>
  <c r="G10" i="4"/>
  <c r="G14" i="4"/>
  <c r="N104" i="4"/>
  <c r="D162" i="4"/>
  <c r="G137" i="4"/>
  <c r="R104" i="4"/>
  <c r="K145" i="4"/>
  <c r="N160" i="4"/>
  <c r="I14" i="4"/>
  <c r="E39" i="4"/>
  <c r="E47" i="4"/>
  <c r="K10" i="4"/>
  <c r="P104" i="4"/>
  <c r="R96" i="4"/>
  <c r="F162" i="4"/>
  <c r="H162" i="4"/>
  <c r="J62" i="4"/>
  <c r="K62" i="4" s="1"/>
  <c r="E72" i="4"/>
  <c r="G72" i="4"/>
  <c r="G127" i="4"/>
  <c r="G25" i="4"/>
  <c r="E56" i="4"/>
  <c r="E25" i="4"/>
  <c r="E96" i="4"/>
  <c r="E137" i="4"/>
  <c r="K25" i="4"/>
  <c r="I127" i="4"/>
  <c r="G35" i="4"/>
  <c r="E44" i="4"/>
  <c r="J61" i="4"/>
  <c r="K61" i="4" s="1"/>
  <c r="I80" i="4"/>
  <c r="J127" i="4"/>
  <c r="K146" i="4"/>
  <c r="K160" i="4" s="1"/>
  <c r="E14" i="4"/>
  <c r="E35" i="4"/>
  <c r="G56" i="4"/>
  <c r="E104" i="4"/>
  <c r="K45" i="4"/>
  <c r="K47" i="4" s="1"/>
  <c r="G93" i="4"/>
  <c r="G104" i="4"/>
  <c r="K124" i="4"/>
  <c r="J145" i="4"/>
  <c r="L104" i="4"/>
  <c r="E112" i="4"/>
  <c r="E127" i="4"/>
  <c r="K136" i="4"/>
  <c r="K137" i="4" s="1"/>
  <c r="G39" i="4"/>
  <c r="G47" i="4"/>
  <c r="K35" i="4"/>
  <c r="G112" i="4"/>
  <c r="E160" i="4"/>
  <c r="G160" i="4"/>
  <c r="J104" i="4"/>
  <c r="J80" i="4"/>
  <c r="J96" i="4"/>
  <c r="E10" i="4"/>
  <c r="E93" i="4"/>
  <c r="G134" i="4"/>
  <c r="J93" i="4"/>
  <c r="K95" i="4"/>
  <c r="K96" i="4" s="1"/>
  <c r="K44" i="4"/>
  <c r="K83" i="4"/>
  <c r="K112" i="4"/>
  <c r="J39" i="4"/>
  <c r="J57" i="4" s="1"/>
  <c r="K56" i="4"/>
  <c r="K115" i="4"/>
  <c r="J72" i="4"/>
  <c r="K39" i="4"/>
  <c r="K134" i="4"/>
  <c r="K14" i="4"/>
  <c r="J112" i="4"/>
  <c r="K80" i="4"/>
  <c r="L57" i="4"/>
  <c r="L84" i="4"/>
  <c r="K71" i="4"/>
  <c r="K72" i="4" s="1"/>
  <c r="K98" i="4"/>
  <c r="K104" i="4" s="1"/>
  <c r="E66" i="4"/>
  <c r="G66" i="4"/>
  <c r="J137" i="4"/>
  <c r="I35" i="4"/>
  <c r="K85" i="4"/>
  <c r="L85" i="4" s="1"/>
  <c r="I12" i="2"/>
  <c r="I13" i="2"/>
  <c r="I15" i="2"/>
  <c r="J10" i="2"/>
  <c r="P65" i="4"/>
  <c r="I14" i="2" l="1"/>
  <c r="U104" i="4"/>
  <c r="U96" i="4"/>
  <c r="U160" i="4"/>
  <c r="S84" i="4"/>
  <c r="S85" i="4"/>
  <c r="U85" i="4" s="1"/>
  <c r="K127" i="4"/>
  <c r="I161" i="4"/>
  <c r="R93" i="4"/>
  <c r="Q161" i="4"/>
  <c r="G57" i="4"/>
  <c r="R72" i="4"/>
  <c r="P72" i="4"/>
  <c r="I57" i="4"/>
  <c r="E57" i="4"/>
  <c r="K66" i="4"/>
  <c r="G161" i="4"/>
  <c r="J66" i="4"/>
  <c r="J161" i="4" s="1"/>
  <c r="J162" i="4" s="1"/>
  <c r="K57" i="4"/>
  <c r="E161" i="4"/>
  <c r="L93" i="4"/>
  <c r="K93" i="4"/>
  <c r="K19" i="2"/>
  <c r="S93" i="4" l="1"/>
  <c r="U84" i="4"/>
  <c r="U72" i="4"/>
  <c r="I162" i="4"/>
  <c r="E162" i="4"/>
  <c r="G162" i="4"/>
  <c r="K161" i="4"/>
  <c r="K162" i="4" s="1"/>
  <c r="G10" i="2"/>
  <c r="H10" i="2" l="1"/>
  <c r="L10" i="2"/>
  <c r="U93" i="4"/>
  <c r="H36" i="2"/>
  <c r="L30" i="2"/>
  <c r="K30" i="2"/>
  <c r="N65" i="4" s="1"/>
  <c r="F30" i="2"/>
  <c r="G29" i="2"/>
  <c r="H29" i="2" s="1"/>
  <c r="G25" i="2"/>
  <c r="D22" i="2"/>
  <c r="J15" i="2"/>
  <c r="J14" i="2"/>
  <c r="J13" i="2"/>
  <c r="J12" i="2"/>
  <c r="J33" i="2" l="1"/>
  <c r="S64" i="4" s="1"/>
  <c r="I33" i="2"/>
  <c r="S62" i="4" s="1"/>
  <c r="J22" i="2"/>
  <c r="P64" i="4" s="1"/>
  <c r="I22" i="2"/>
  <c r="P62" i="4" s="1"/>
  <c r="J19" i="2"/>
  <c r="I19" i="2"/>
  <c r="J16" i="2"/>
  <c r="J38" i="2" s="1"/>
  <c r="G28" i="2"/>
  <c r="H28" i="2" s="1"/>
  <c r="G14" i="2"/>
  <c r="G15" i="2"/>
  <c r="G33" i="2"/>
  <c r="L33" i="2" s="1"/>
  <c r="S133" i="4" s="1"/>
  <c r="S134" i="4" s="1"/>
  <c r="G12" i="2"/>
  <c r="L12" i="2" s="1"/>
  <c r="H25" i="2"/>
  <c r="G26" i="2"/>
  <c r="H26" i="2" s="1"/>
  <c r="G19" i="2"/>
  <c r="G22" i="2"/>
  <c r="L22" i="2" s="1"/>
  <c r="P133" i="4" s="1"/>
  <c r="P134" i="4" s="1"/>
  <c r="G13" i="2"/>
  <c r="G27" i="2"/>
  <c r="H27" i="2" s="1"/>
  <c r="K16" i="2"/>
  <c r="D30" i="2"/>
  <c r="F16" i="2"/>
  <c r="F38" i="2" s="1"/>
  <c r="D16" i="2"/>
  <c r="D38" i="2" s="1"/>
  <c r="H15" i="2" l="1"/>
  <c r="L15" i="2"/>
  <c r="H14" i="2"/>
  <c r="L14" i="2"/>
  <c r="H13" i="2"/>
  <c r="L13" i="2"/>
  <c r="H19" i="2"/>
  <c r="L19" i="2"/>
  <c r="H33" i="2"/>
  <c r="S61" i="4" s="1"/>
  <c r="S60" i="4"/>
  <c r="R65" i="4"/>
  <c r="H22" i="2"/>
  <c r="P61" i="4" s="1"/>
  <c r="P60" i="4"/>
  <c r="N68" i="1"/>
  <c r="R64" i="4"/>
  <c r="G30" i="2"/>
  <c r="N60" i="4" s="1"/>
  <c r="I30" i="2"/>
  <c r="N62" i="4" s="1"/>
  <c r="H12" i="2"/>
  <c r="G16" i="2"/>
  <c r="H30" i="2"/>
  <c r="N61" i="4" s="1"/>
  <c r="I16" i="2"/>
  <c r="I38" i="2" s="1"/>
  <c r="R60" i="4" l="1"/>
  <c r="G38" i="2"/>
  <c r="L16" i="2"/>
  <c r="R62" i="4"/>
  <c r="N66" i="1"/>
  <c r="L65" i="4"/>
  <c r="N69" i="1"/>
  <c r="H16" i="2"/>
  <c r="U65" i="4"/>
  <c r="S66" i="4"/>
  <c r="S161" i="4" s="1"/>
  <c r="L167" i="4" s="1"/>
  <c r="P66" i="4"/>
  <c r="P161" i="4" s="1"/>
  <c r="L64" i="4"/>
  <c r="U64" i="4" s="1"/>
  <c r="N66" i="4"/>
  <c r="N161" i="4" s="1"/>
  <c r="R61" i="4" l="1"/>
  <c r="R66" i="4" s="1"/>
  <c r="H38" i="2"/>
  <c r="L38" i="2"/>
  <c r="N140" i="1" s="1"/>
  <c r="N141" i="1" s="1"/>
  <c r="R133" i="4"/>
  <c r="R134" i="4" s="1"/>
  <c r="N65" i="1"/>
  <c r="L60" i="4"/>
  <c r="U60" i="4" s="1"/>
  <c r="N64" i="1"/>
  <c r="L165" i="4"/>
  <c r="L133" i="4"/>
  <c r="L62" i="4"/>
  <c r="U62" i="4" s="1"/>
  <c r="L169" i="1"/>
  <c r="M169" i="1" s="1"/>
  <c r="R161" i="4" l="1"/>
  <c r="L166" i="4" s="1"/>
  <c r="L168" i="4" s="1"/>
  <c r="N38" i="2"/>
  <c r="L61" i="4"/>
  <c r="U61" i="4" s="1"/>
  <c r="N70" i="1"/>
  <c r="N170" i="1" s="1"/>
  <c r="N172" i="1" s="1"/>
  <c r="N4" i="1" s="1"/>
  <c r="V160" i="4"/>
  <c r="L134" i="4"/>
  <c r="U133" i="4"/>
  <c r="V133" i="4"/>
  <c r="E69" i="1"/>
  <c r="G69" i="1"/>
  <c r="L66" i="4" l="1"/>
  <c r="L161" i="4" s="1"/>
  <c r="L162" i="4" s="1"/>
  <c r="U134" i="4"/>
  <c r="D170" i="1"/>
  <c r="F170" i="1"/>
  <c r="E57" i="1"/>
  <c r="K48" i="1"/>
  <c r="M48" i="1" s="1"/>
  <c r="I48" i="1"/>
  <c r="K60" i="1"/>
  <c r="M60" i="1" s="1"/>
  <c r="I60" i="1"/>
  <c r="K41" i="1"/>
  <c r="M41" i="1" s="1"/>
  <c r="K37" i="1"/>
  <c r="M37" i="1" s="1"/>
  <c r="K27" i="1"/>
  <c r="M27" i="1" s="1"/>
  <c r="I27" i="1"/>
  <c r="K16" i="1"/>
  <c r="M16" i="1" s="1"/>
  <c r="I16" i="1"/>
  <c r="K12" i="1"/>
  <c r="M12" i="1" s="1"/>
  <c r="I12" i="1"/>
  <c r="K45" i="1"/>
  <c r="M45" i="1" s="1"/>
  <c r="H45" i="1"/>
  <c r="L149" i="1"/>
  <c r="L152" i="1"/>
  <c r="L137" i="1"/>
  <c r="L78" i="1"/>
  <c r="I149" i="1"/>
  <c r="I146" i="1"/>
  <c r="I152" i="1"/>
  <c r="I137" i="1"/>
  <c r="I78" i="1"/>
  <c r="G148" i="1"/>
  <c r="G149" i="1" s="1"/>
  <c r="G166" i="1"/>
  <c r="G145" i="1"/>
  <c r="G143" i="1"/>
  <c r="G142" i="1"/>
  <c r="G164" i="1"/>
  <c r="G140" i="1"/>
  <c r="G139" i="1"/>
  <c r="G138" i="1"/>
  <c r="G163" i="1"/>
  <c r="G161" i="1"/>
  <c r="G159" i="1"/>
  <c r="G158" i="1"/>
  <c r="G128" i="1"/>
  <c r="G127" i="1"/>
  <c r="G157" i="1"/>
  <c r="G126" i="1"/>
  <c r="G134" i="1"/>
  <c r="G137" i="1" s="1"/>
  <c r="G125" i="1"/>
  <c r="G124" i="1"/>
  <c r="G122" i="1"/>
  <c r="G121" i="1"/>
  <c r="G120" i="1"/>
  <c r="G118" i="1"/>
  <c r="G156" i="1"/>
  <c r="G116" i="1"/>
  <c r="G115" i="1"/>
  <c r="G114" i="1"/>
  <c r="G113" i="1"/>
  <c r="G112" i="1"/>
  <c r="G111" i="1"/>
  <c r="G110" i="1"/>
  <c r="G108" i="1"/>
  <c r="G107" i="1"/>
  <c r="G106" i="1"/>
  <c r="G105" i="1"/>
  <c r="G104" i="1"/>
  <c r="G103" i="1"/>
  <c r="G101" i="1"/>
  <c r="G96" i="1"/>
  <c r="G95" i="1"/>
  <c r="G94" i="1"/>
  <c r="G99" i="1"/>
  <c r="G98" i="1"/>
  <c r="G92" i="1"/>
  <c r="G91" i="1"/>
  <c r="G90" i="1"/>
  <c r="G89" i="1"/>
  <c r="G88" i="1"/>
  <c r="G154" i="1"/>
  <c r="G153" i="1"/>
  <c r="G86" i="1"/>
  <c r="G85" i="1"/>
  <c r="G83" i="1"/>
  <c r="G80" i="1"/>
  <c r="G150" i="1"/>
  <c r="G152" i="1" s="1"/>
  <c r="G77" i="1"/>
  <c r="G78" i="1" s="1"/>
  <c r="G75" i="1"/>
  <c r="G74" i="1"/>
  <c r="G72" i="1"/>
  <c r="G71" i="1"/>
  <c r="G68" i="1"/>
  <c r="G66" i="1"/>
  <c r="G65" i="1"/>
  <c r="G64" i="1"/>
  <c r="G54" i="1"/>
  <c r="G40" i="1"/>
  <c r="G39" i="1"/>
  <c r="G19" i="1"/>
  <c r="G38" i="1"/>
  <c r="G57" i="1"/>
  <c r="G36" i="1"/>
  <c r="G35" i="1"/>
  <c r="G34" i="1"/>
  <c r="G33" i="1"/>
  <c r="G32" i="1"/>
  <c r="G31" i="1"/>
  <c r="G29" i="1"/>
  <c r="G28" i="1"/>
  <c r="G50" i="1"/>
  <c r="G25" i="1"/>
  <c r="G24" i="1"/>
  <c r="G23" i="1"/>
  <c r="G22" i="1"/>
  <c r="G21" i="1"/>
  <c r="G20" i="1"/>
  <c r="G18" i="1"/>
  <c r="G17" i="1"/>
  <c r="G53" i="1"/>
  <c r="G15" i="1"/>
  <c r="G14" i="1"/>
  <c r="G13" i="1"/>
  <c r="G47" i="1"/>
  <c r="G46" i="1"/>
  <c r="G11" i="1"/>
  <c r="G10" i="1"/>
  <c r="G9" i="1"/>
  <c r="G8" i="1"/>
  <c r="G42" i="1"/>
  <c r="G45" i="1" s="1"/>
  <c r="E148" i="1"/>
  <c r="E149" i="1" s="1"/>
  <c r="E167" i="1"/>
  <c r="E145" i="1"/>
  <c r="E146" i="1" s="1"/>
  <c r="E143" i="1"/>
  <c r="E142" i="1"/>
  <c r="E164" i="1"/>
  <c r="E140" i="1"/>
  <c r="E139" i="1"/>
  <c r="E138" i="1"/>
  <c r="E162" i="1"/>
  <c r="E161" i="1"/>
  <c r="E160" i="1"/>
  <c r="E159" i="1"/>
  <c r="E158" i="1"/>
  <c r="E128" i="1"/>
  <c r="E127" i="1"/>
  <c r="E126" i="1"/>
  <c r="E134" i="1"/>
  <c r="E137" i="1" s="1"/>
  <c r="E124" i="1"/>
  <c r="E123" i="1"/>
  <c r="E122" i="1"/>
  <c r="E121" i="1"/>
  <c r="E120" i="1"/>
  <c r="E118" i="1"/>
  <c r="E116" i="1"/>
  <c r="E115" i="1"/>
  <c r="E114" i="1"/>
  <c r="E113" i="1"/>
  <c r="E112" i="1"/>
  <c r="E111" i="1"/>
  <c r="E110" i="1"/>
  <c r="E155" i="1"/>
  <c r="E108" i="1"/>
  <c r="E107" i="1"/>
  <c r="E106" i="1"/>
  <c r="E105" i="1"/>
  <c r="E104" i="1"/>
  <c r="E103" i="1"/>
  <c r="E101" i="1"/>
  <c r="E96" i="1"/>
  <c r="E95" i="1"/>
  <c r="E94" i="1"/>
  <c r="E99" i="1"/>
  <c r="E98" i="1"/>
  <c r="E93" i="1"/>
  <c r="E92" i="1"/>
  <c r="E91" i="1"/>
  <c r="E90" i="1"/>
  <c r="E89" i="1"/>
  <c r="E88" i="1"/>
  <c r="E154" i="1"/>
  <c r="E153" i="1"/>
  <c r="E86" i="1"/>
  <c r="E85" i="1"/>
  <c r="E83" i="1"/>
  <c r="E81" i="1"/>
  <c r="E80" i="1"/>
  <c r="E79" i="1"/>
  <c r="E150" i="1"/>
  <c r="E152" i="1" s="1"/>
  <c r="E77" i="1"/>
  <c r="E78" i="1" s="1"/>
  <c r="E75" i="1"/>
  <c r="E74" i="1"/>
  <c r="E73" i="1"/>
  <c r="E72" i="1"/>
  <c r="E71" i="1"/>
  <c r="E68" i="1"/>
  <c r="E66" i="1"/>
  <c r="E65" i="1"/>
  <c r="E64" i="1"/>
  <c r="E40" i="1"/>
  <c r="E19" i="1"/>
  <c r="E38" i="1"/>
  <c r="E56" i="1"/>
  <c r="E55" i="1"/>
  <c r="E36" i="1"/>
  <c r="E32" i="1"/>
  <c r="E31" i="1"/>
  <c r="E30" i="1"/>
  <c r="E29" i="1"/>
  <c r="E28" i="1"/>
  <c r="E50" i="1"/>
  <c r="E26" i="1"/>
  <c r="E25" i="1"/>
  <c r="E24" i="1"/>
  <c r="E23" i="1"/>
  <c r="E22" i="1"/>
  <c r="E21" i="1"/>
  <c r="E20" i="1"/>
  <c r="E18" i="1"/>
  <c r="E17" i="1"/>
  <c r="E15" i="1"/>
  <c r="E14" i="1"/>
  <c r="E13" i="1"/>
  <c r="E47" i="1"/>
  <c r="E46" i="1"/>
  <c r="E11" i="1"/>
  <c r="E10" i="1"/>
  <c r="E9" i="1"/>
  <c r="E8" i="1"/>
  <c r="E44" i="1"/>
  <c r="E42" i="1"/>
  <c r="U66" i="4" l="1"/>
  <c r="V74" i="4"/>
  <c r="M78" i="1"/>
  <c r="V130" i="4"/>
  <c r="M137" i="1"/>
  <c r="V145" i="4"/>
  <c r="M152" i="1"/>
  <c r="V142" i="4"/>
  <c r="M149" i="1"/>
  <c r="J97" i="1"/>
  <c r="J170" i="1" s="1"/>
  <c r="J172" i="1" s="1"/>
  <c r="H170" i="1"/>
  <c r="G146" i="1"/>
  <c r="G48" i="1"/>
  <c r="G100" i="1"/>
  <c r="I87" i="1"/>
  <c r="I144" i="1"/>
  <c r="L84" i="1"/>
  <c r="G84" i="1"/>
  <c r="G109" i="1"/>
  <c r="G117" i="1"/>
  <c r="G133" i="1"/>
  <c r="G141" i="1"/>
  <c r="I76" i="1"/>
  <c r="I97" i="1"/>
  <c r="I109" i="1"/>
  <c r="I133" i="1"/>
  <c r="L97" i="1"/>
  <c r="L133" i="1"/>
  <c r="E133" i="1"/>
  <c r="E141" i="1"/>
  <c r="E144" i="1"/>
  <c r="L100" i="1"/>
  <c r="E76" i="1"/>
  <c r="E97" i="1"/>
  <c r="G144" i="1"/>
  <c r="L87" i="1"/>
  <c r="L144" i="1"/>
  <c r="E169" i="1"/>
  <c r="E100" i="1"/>
  <c r="G70" i="1"/>
  <c r="G169" i="1"/>
  <c r="I141" i="1"/>
  <c r="L117" i="1"/>
  <c r="E109" i="1"/>
  <c r="E117" i="1"/>
  <c r="L109" i="1"/>
  <c r="E84" i="1"/>
  <c r="E87" i="1"/>
  <c r="G76" i="1"/>
  <c r="G87" i="1"/>
  <c r="G97" i="1"/>
  <c r="I100" i="1"/>
  <c r="I117" i="1"/>
  <c r="I169" i="1"/>
  <c r="L76" i="1"/>
  <c r="L141" i="1"/>
  <c r="E70" i="1"/>
  <c r="I70" i="1"/>
  <c r="E48" i="1"/>
  <c r="G16" i="1"/>
  <c r="E16" i="1"/>
  <c r="E27" i="1"/>
  <c r="D61" i="1"/>
  <c r="K61" i="1"/>
  <c r="M61" i="1" s="1"/>
  <c r="G12" i="1"/>
  <c r="G37" i="1"/>
  <c r="G60" i="1"/>
  <c r="E12" i="1"/>
  <c r="E37" i="1"/>
  <c r="E60" i="1"/>
  <c r="G41" i="1"/>
  <c r="E41" i="1"/>
  <c r="G27" i="1"/>
  <c r="F61" i="1"/>
  <c r="H61" i="1"/>
  <c r="E45" i="1"/>
  <c r="L170" i="1" l="1"/>
  <c r="M170" i="1" s="1"/>
  <c r="K172" i="1"/>
  <c r="V104" i="4"/>
  <c r="M109" i="1"/>
  <c r="V134" i="4"/>
  <c r="M141" i="1"/>
  <c r="V96" i="4"/>
  <c r="M100" i="1"/>
  <c r="V112" i="4"/>
  <c r="M117" i="1"/>
  <c r="V80" i="4"/>
  <c r="M84" i="1"/>
  <c r="V127" i="4"/>
  <c r="M133" i="1"/>
  <c r="V72" i="4"/>
  <c r="M76" i="1"/>
  <c r="V83" i="4"/>
  <c r="M87" i="1"/>
  <c r="V93" i="4"/>
  <c r="M97" i="1"/>
  <c r="V137" i="4"/>
  <c r="M144" i="1"/>
  <c r="V66" i="4"/>
  <c r="M70" i="1"/>
  <c r="E170" i="1"/>
  <c r="G170" i="1"/>
  <c r="I170" i="1"/>
  <c r="F172" i="1"/>
  <c r="H172" i="1"/>
  <c r="D172" i="1"/>
  <c r="G61" i="1"/>
  <c r="E61" i="1"/>
  <c r="L172" i="1" l="1"/>
  <c r="M172" i="1"/>
  <c r="I37" i="1"/>
  <c r="E172" i="1"/>
  <c r="G172" i="1"/>
  <c r="I41" i="1" l="1"/>
  <c r="I45" i="1" l="1"/>
  <c r="I61" i="1" s="1"/>
  <c r="I17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  <author>Kimberly</author>
  </authors>
  <commentList>
    <comment ref="J12" authorId="0" shapeId="0" xr:uid="{98950653-4253-4BDC-B586-0E21B97904C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I am assuming we will collect part of the $35k unpaid taxes if an auction is held in Nov</t>
        </r>
      </text>
    </comment>
    <comment ref="K12" authorId="0" shapeId="0" xr:uid="{F53E88B5-9994-4B2F-BF74-6909450F143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I am assuming we will collect part of the $35k unpaid taxes if an auction is held in Nov</t>
        </r>
      </text>
    </comment>
    <comment ref="L12" authorId="0" shapeId="0" xr:uid="{96AEBA02-ACED-4DCE-A817-2EE2B946FCE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I am assuming we will collect part of the $35k unpaid taxes if an auction is held in Nov</t>
        </r>
      </text>
    </comment>
    <comment ref="I61" authorId="1" shapeId="0" xr:uid="{DEE9F95C-3E64-4296-82E2-B49464E2ABDB}">
      <text>
        <r>
          <rPr>
            <b/>
            <sz val="9"/>
            <color indexed="81"/>
            <rFont val="Tahoma"/>
            <family val="2"/>
          </rPr>
          <t>Kimberly:</t>
        </r>
        <r>
          <rPr>
            <sz val="9"/>
            <color indexed="81"/>
            <rFont val="Tahoma"/>
            <family val="2"/>
          </rPr>
          <t xml:space="preserve">
I have not included ARP or the vehicle loan proceeds as to keep the budget comparison easier to compare</t>
        </r>
      </text>
    </comment>
    <comment ref="M111" authorId="0" shapeId="0" xr:uid="{3BA2F7CD-45B7-4D24-81FE-D22CCFD6D5B0}">
      <text>
        <r>
          <rPr>
            <b/>
            <sz val="9"/>
            <color indexed="81"/>
            <rFont val="Tahoma"/>
            <charset val="1"/>
          </rPr>
          <t>Finance:</t>
        </r>
        <r>
          <rPr>
            <sz val="9"/>
            <color indexed="81"/>
            <rFont val="Tahoma"/>
            <charset val="1"/>
          </rPr>
          <t xml:space="preserve">
2300 to replace locks at community center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  <author>Kimberly</author>
  </authors>
  <commentList>
    <comment ref="L10" authorId="0" shapeId="0" xr:uid="{A71860D7-4179-4A41-A470-FA025A8FEAA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I am assuming we will collect part of the $35k unpaid taxes if an auction is held in Nov</t>
        </r>
      </text>
    </comment>
    <comment ref="I57" authorId="0" shapeId="0" xr:uid="{985C14D9-FB05-4748-9A2B-1BF7C50DCB6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does not include ARP or Loan proceeds for police vehicle</t>
        </r>
      </text>
    </comment>
    <comment ref="K57" authorId="1" shapeId="0" xr:uid="{5CB9E156-4B29-4F9F-BCFB-E028EB04ECD1}">
      <text>
        <r>
          <rPr>
            <b/>
            <sz val="9"/>
            <color indexed="81"/>
            <rFont val="Tahoma"/>
            <family val="2"/>
          </rPr>
          <t>Kimberly:</t>
        </r>
        <r>
          <rPr>
            <sz val="9"/>
            <color indexed="81"/>
            <rFont val="Tahoma"/>
            <family val="2"/>
          </rPr>
          <t xml:space="preserve">
I have not included ARP or the vehicle loan proceeds as to keep the budget comparison easier to compare</t>
        </r>
      </text>
    </comment>
  </commentList>
</comments>
</file>

<file path=xl/sharedStrings.xml><?xml version="1.0" encoding="utf-8"?>
<sst xmlns="http://schemas.openxmlformats.org/spreadsheetml/2006/main" count="718" uniqueCount="310">
  <si>
    <t>Income</t>
  </si>
  <si>
    <t>Total Income</t>
  </si>
  <si>
    <t>Total Expenses</t>
  </si>
  <si>
    <t>Town of Atlantic Beach</t>
  </si>
  <si>
    <t>Beautification Revenue</t>
  </si>
  <si>
    <t>Deposit Over/Short</t>
  </si>
  <si>
    <t>Printing &amp; Reproduction</t>
  </si>
  <si>
    <t>Uniforms and Clothing</t>
  </si>
  <si>
    <t>Dues and Subscriptions</t>
  </si>
  <si>
    <t>Training and Education</t>
  </si>
  <si>
    <t>Meeting Expense</t>
  </si>
  <si>
    <t>Janitorial Charges</t>
  </si>
  <si>
    <t>Advertising and Promotion</t>
  </si>
  <si>
    <t>County Collection Fees</t>
  </si>
  <si>
    <t>Physicals</t>
  </si>
  <si>
    <t>Election Costs</t>
  </si>
  <si>
    <t>Late Fees</t>
  </si>
  <si>
    <t>Prisoner Housing</t>
  </si>
  <si>
    <t>Fire Building Rent</t>
  </si>
  <si>
    <t>Miscellaneous Expenditures</t>
  </si>
  <si>
    <t>Emergency/Storm</t>
  </si>
  <si>
    <t>Pension Expense</t>
  </si>
  <si>
    <t>2019/2020</t>
  </si>
  <si>
    <t>Actual</t>
  </si>
  <si>
    <t>Budget</t>
  </si>
  <si>
    <t>2020/21</t>
  </si>
  <si>
    <t>Chg for Svc</t>
  </si>
  <si>
    <t xml:space="preserve"> Copies - FOIA</t>
  </si>
  <si>
    <t xml:space="preserve"> Donations - Unrestricted</t>
  </si>
  <si>
    <t xml:space="preserve"> Motor PILOT</t>
  </si>
  <si>
    <t xml:space="preserve"> Personal</t>
  </si>
  <si>
    <t xml:space="preserve"> Real Estate</t>
  </si>
  <si>
    <t xml:space="preserve"> Vehicle Tax</t>
  </si>
  <si>
    <t xml:space="preserve"> Police Fines Kept by Town</t>
  </si>
  <si>
    <t>Fines &amp; Forfeitures</t>
  </si>
  <si>
    <t xml:space="preserve"> Other</t>
  </si>
  <si>
    <t>Franchise Fee</t>
  </si>
  <si>
    <t xml:space="preserve"> Electric</t>
  </si>
  <si>
    <t xml:space="preserve"> Telecommunicatio</t>
  </si>
  <si>
    <t xml:space="preserve"> Vendors</t>
  </si>
  <si>
    <t>Intergovt</t>
  </si>
  <si>
    <t xml:space="preserve"> Homestead Exemption</t>
  </si>
  <si>
    <t xml:space="preserve"> Local Assessment Fee (TNC)</t>
  </si>
  <si>
    <t xml:space="preserve"> Merchants Inventory</t>
  </si>
  <si>
    <t xml:space="preserve"> Shared Rev</t>
  </si>
  <si>
    <t>Recreation Fees</t>
  </si>
  <si>
    <t xml:space="preserve"> Interest</t>
  </si>
  <si>
    <t>License &amp; Permit</t>
  </si>
  <si>
    <t xml:space="preserve"> Building Perm</t>
  </si>
  <si>
    <t xml:space="preserve"> Business Lic</t>
  </si>
  <si>
    <t xml:space="preserve"> Demo Fee</t>
  </si>
  <si>
    <t xml:space="preserve"> Late Fees</t>
  </si>
  <si>
    <t xml:space="preserve"> Life Safety Fee</t>
  </si>
  <si>
    <t xml:space="preserve"> Night Club Permit</t>
  </si>
  <si>
    <t xml:space="preserve"> Parking Permit</t>
  </si>
  <si>
    <t xml:space="preserve"> RV Permit</t>
  </si>
  <si>
    <t xml:space="preserve"> Yard Sale</t>
  </si>
  <si>
    <t>Other Income</t>
  </si>
  <si>
    <t xml:space="preserve"> Election Registration</t>
  </si>
  <si>
    <t xml:space="preserve"> Insurance Refunds</t>
  </si>
  <si>
    <t xml:space="preserve"> Miscellaneous</t>
  </si>
  <si>
    <t xml:space="preserve"> Accommodations Tax</t>
  </si>
  <si>
    <t xml:space="preserve"> Alcohol Bvg Lic (LOP)</t>
  </si>
  <si>
    <t xml:space="preserve"> Hospitality Tax</t>
  </si>
  <si>
    <t xml:space="preserve"> Hospitality Tax Late Fee</t>
  </si>
  <si>
    <t xml:space="preserve"> Rent - Community Center</t>
  </si>
  <si>
    <t xml:space="preserve"> MASC Brokers Tax</t>
  </si>
  <si>
    <t xml:space="preserve"> MASC Insurance Tax</t>
  </si>
  <si>
    <t xml:space="preserve"> County Road Tax</t>
  </si>
  <si>
    <t xml:space="preserve"> MASC Telecommunications Tax</t>
  </si>
  <si>
    <t>Personnel</t>
  </si>
  <si>
    <t>Regular Wages</t>
  </si>
  <si>
    <t>FICA</t>
  </si>
  <si>
    <t>Retirement</t>
  </si>
  <si>
    <t>Unemployment</t>
  </si>
  <si>
    <t>Health, Employer Pd</t>
  </si>
  <si>
    <t>Supplies</t>
  </si>
  <si>
    <t xml:space="preserve"> Office</t>
  </si>
  <si>
    <t xml:space="preserve"> Police</t>
  </si>
  <si>
    <t xml:space="preserve"> Computer</t>
  </si>
  <si>
    <t xml:space="preserve"> Fuel</t>
  </si>
  <si>
    <t xml:space="preserve"> Postage and Delivery</t>
  </si>
  <si>
    <t>Travel</t>
  </si>
  <si>
    <t xml:space="preserve"> Fuel and Gas</t>
  </si>
  <si>
    <t xml:space="preserve"> Lodging</t>
  </si>
  <si>
    <t xml:space="preserve"> Mileage</t>
  </si>
  <si>
    <t xml:space="preserve"> 30th Ave-32952</t>
  </si>
  <si>
    <t xml:space="preserve"> 1010 32 Ave ComCtr-01955</t>
  </si>
  <si>
    <t xml:space="preserve"> 31 Ave Fire Station-31287</t>
  </si>
  <si>
    <t xml:space="preserve"> Town of AB-00100</t>
  </si>
  <si>
    <t xml:space="preserve"> Other-Temporary Service</t>
  </si>
  <si>
    <t xml:space="preserve"> Gas</t>
  </si>
  <si>
    <t>Trash Collection</t>
  </si>
  <si>
    <t xml:space="preserve"> Residential</t>
  </si>
  <si>
    <t xml:space="preserve"> Town</t>
  </si>
  <si>
    <t xml:space="preserve"> Sewer</t>
  </si>
  <si>
    <t xml:space="preserve"> Storm Water</t>
  </si>
  <si>
    <t xml:space="preserve"> Water</t>
  </si>
  <si>
    <t>Telephone</t>
  </si>
  <si>
    <t xml:space="preserve"> Cell Phones</t>
  </si>
  <si>
    <t xml:space="preserve"> Town Hall</t>
  </si>
  <si>
    <t>Communications</t>
  </si>
  <si>
    <t>Radios</t>
  </si>
  <si>
    <t xml:space="preserve"> Internet and Cable</t>
  </si>
  <si>
    <t xml:space="preserve"> Software</t>
  </si>
  <si>
    <t xml:space="preserve"> Website</t>
  </si>
  <si>
    <t>Other Costs</t>
  </si>
  <si>
    <t>Repairs &amp; Maint</t>
  </si>
  <si>
    <t xml:space="preserve"> Vehicles</t>
  </si>
  <si>
    <t xml:space="preserve"> Building</t>
  </si>
  <si>
    <t xml:space="preserve"> Equipment</t>
  </si>
  <si>
    <t xml:space="preserve"> Lawn &amp; Garden</t>
  </si>
  <si>
    <t xml:space="preserve"> Pest Control</t>
  </si>
  <si>
    <t xml:space="preserve"> Plumbing</t>
  </si>
  <si>
    <t xml:space="preserve"> Building Inspector</t>
  </si>
  <si>
    <t xml:space="preserve"> Consultant</t>
  </si>
  <si>
    <t xml:space="preserve"> Court Reporting</t>
  </si>
  <si>
    <t xml:space="preserve"> Development</t>
  </si>
  <si>
    <t xml:space="preserve"> Grantwriting</t>
  </si>
  <si>
    <t xml:space="preserve"> Management</t>
  </si>
  <si>
    <t xml:space="preserve"> Property Maintenance</t>
  </si>
  <si>
    <t xml:space="preserve"> Payroll Processing</t>
  </si>
  <si>
    <t xml:space="preserve"> Planning</t>
  </si>
  <si>
    <t xml:space="preserve"> Muni Ct Judge</t>
  </si>
  <si>
    <t xml:space="preserve"> Police and Security</t>
  </si>
  <si>
    <t xml:space="preserve"> Accounting</t>
  </si>
  <si>
    <t xml:space="preserve"> Audit</t>
  </si>
  <si>
    <t xml:space="preserve"> Legal</t>
  </si>
  <si>
    <t xml:space="preserve"> Service Charge</t>
  </si>
  <si>
    <t xml:space="preserve"> Stop Payment Fee</t>
  </si>
  <si>
    <t>Insurance</t>
  </si>
  <si>
    <t xml:space="preserve"> General Liability</t>
  </si>
  <si>
    <t xml:space="preserve"> Tort Liability</t>
  </si>
  <si>
    <t xml:space="preserve"> Worker's Comp</t>
  </si>
  <si>
    <t>Other</t>
  </si>
  <si>
    <t xml:space="preserve">Police </t>
  </si>
  <si>
    <t>Property Tax</t>
  </si>
  <si>
    <t>Dues &amp; Training</t>
  </si>
  <si>
    <t>Utilities</t>
  </si>
  <si>
    <t xml:space="preserve">Meals </t>
  </si>
  <si>
    <t>Under $1000</t>
  </si>
  <si>
    <t>Equipment Supplies</t>
  </si>
  <si>
    <t>Capital Purchase</t>
  </si>
  <si>
    <t>2021/22</t>
  </si>
  <si>
    <t>Chg for Svc Total</t>
  </si>
  <si>
    <t>Franchise Fee Total</t>
  </si>
  <si>
    <t>Intergovt Total</t>
  </si>
  <si>
    <t>License &amp; Permit Total</t>
  </si>
  <si>
    <t>Fines &amp; Forfeitures Total</t>
  </si>
  <si>
    <t>Other Income Total</t>
  </si>
  <si>
    <t>2022/23</t>
  </si>
  <si>
    <t>Personnel Total</t>
  </si>
  <si>
    <t>Supplies Total</t>
  </si>
  <si>
    <t>Printing &amp; Reproduction Total</t>
  </si>
  <si>
    <t>Travel Total</t>
  </si>
  <si>
    <t>Dues &amp; Training Total</t>
  </si>
  <si>
    <t>Utilities Total</t>
  </si>
  <si>
    <t>Communications Total</t>
  </si>
  <si>
    <t>Repairs &amp; Maint Total</t>
  </si>
  <si>
    <t>Insurance Total</t>
  </si>
  <si>
    <t>Police  Total</t>
  </si>
  <si>
    <t>Other Total</t>
  </si>
  <si>
    <t>Capital Purchase Total</t>
  </si>
  <si>
    <t xml:space="preserve">Property Tax </t>
  </si>
  <si>
    <t>Property Tax  Total</t>
  </si>
  <si>
    <t>Hospitality Tax</t>
  </si>
  <si>
    <t>Hospitality Tax Total</t>
  </si>
  <si>
    <t>Professional Services</t>
  </si>
  <si>
    <t>Court Services</t>
  </si>
  <si>
    <t>Equipment Rent</t>
  </si>
  <si>
    <t>Trash Collection Total</t>
  </si>
  <si>
    <t>Professional Services Total</t>
  </si>
  <si>
    <t>Court Services Total</t>
  </si>
  <si>
    <t>Equipment Rent Total</t>
  </si>
  <si>
    <t>Back to School</t>
  </si>
  <si>
    <t>Clean Up Month</t>
  </si>
  <si>
    <t>Equipment Purchases Total</t>
  </si>
  <si>
    <t>Net Income (Loss)</t>
  </si>
  <si>
    <t>Expense</t>
  </si>
  <si>
    <t>Lot Lease</t>
  </si>
  <si>
    <t>Building Lease</t>
  </si>
  <si>
    <t>Parking, Tolls &amp; Taxis</t>
  </si>
  <si>
    <t>Equipment Over $1000</t>
  </si>
  <si>
    <t xml:space="preserve">Capital </t>
  </si>
  <si>
    <t>last year included $20k county lawsuit</t>
  </si>
  <si>
    <t>income from state has decreased</t>
  </si>
  <si>
    <t>higher b/c of BL date change</t>
  </si>
  <si>
    <t>Budget Worksheet</t>
  </si>
  <si>
    <t>FYE June 30, 2023</t>
  </si>
  <si>
    <t>life safety twice in current year b/c of BL date change</t>
  </si>
  <si>
    <t>there is $35k in unpaid property tax as of April</t>
  </si>
  <si>
    <t>no longer have copier lease</t>
  </si>
  <si>
    <r>
      <t xml:space="preserve">we've received </t>
    </r>
    <r>
      <rPr>
        <u/>
        <sz val="8"/>
        <color rgb="FF000000"/>
        <rFont val="Arial"/>
        <family val="2"/>
      </rPr>
      <t>nothing</t>
    </r>
    <r>
      <rPr>
        <sz val="8"/>
        <color indexed="8"/>
        <rFont val="Arial"/>
        <family val="2"/>
      </rPr>
      <t xml:space="preserve"> for this year</t>
    </r>
  </si>
  <si>
    <t>BL date changed in 21/22</t>
  </si>
  <si>
    <t>extra in CY due to BL date change</t>
  </si>
  <si>
    <t>police fines have drastically dropped</t>
  </si>
  <si>
    <t>TOAB</t>
  </si>
  <si>
    <t>Payroll Budget</t>
  </si>
  <si>
    <t>POLICE</t>
  </si>
  <si>
    <t>Wages</t>
  </si>
  <si>
    <t>Overtime</t>
  </si>
  <si>
    <t>Taxes</t>
  </si>
  <si>
    <t>Health</t>
  </si>
  <si>
    <t>Work Comp</t>
  </si>
  <si>
    <t>Chief</t>
  </si>
  <si>
    <t>Lieutenant</t>
  </si>
  <si>
    <t>Officer</t>
  </si>
  <si>
    <t>COURT</t>
  </si>
  <si>
    <t>Clerk</t>
  </si>
  <si>
    <t>ADMIN</t>
  </si>
  <si>
    <t>COUNCIL</t>
  </si>
  <si>
    <t>Mayor</t>
  </si>
  <si>
    <t>Council</t>
  </si>
  <si>
    <t>MAINTENANCE</t>
  </si>
  <si>
    <t>Laborer</t>
  </si>
  <si>
    <t>Total</t>
  </si>
  <si>
    <t>Unemplmt</t>
  </si>
  <si>
    <t>21/22 includes two $2k bonuses</t>
  </si>
  <si>
    <t>ask Quentin what this will be for 22/23</t>
  </si>
  <si>
    <t>I expect this will need to increase over prior year if we intend to have more police fine income</t>
  </si>
  <si>
    <t>$160 for each officer that attends academy - expect turnover</t>
  </si>
  <si>
    <t>bank statement fees</t>
  </si>
  <si>
    <t>DO NOT CHANGE THIS!</t>
  </si>
  <si>
    <t>we shouldn't need this if we are fully staffed</t>
  </si>
  <si>
    <t>I expect this to increase with more officers on staff</t>
  </si>
  <si>
    <t>budgeting 15% increase due to fuel prices (not expected to improve)</t>
  </si>
  <si>
    <t>I am assuming more council will attend hometown legislation</t>
  </si>
  <si>
    <t>expecting to return to 2020 activity w/ police training travel</t>
  </si>
  <si>
    <t>budgeting 30% increase with increase in fuel costs and officers</t>
  </si>
  <si>
    <t>change on payroll tab</t>
  </si>
  <si>
    <t>adjusts when payroll wages are adjusted on payroll tab</t>
  </si>
  <si>
    <t>I budgeted $34k - I do not know why general liability was removed on final budget for 21/22</t>
  </si>
  <si>
    <t>Other?</t>
  </si>
  <si>
    <t>mike</t>
  </si>
  <si>
    <t>cheryl</t>
  </si>
  <si>
    <t>kim</t>
  </si>
  <si>
    <t>quentin</t>
  </si>
  <si>
    <t>do not share this column</t>
  </si>
  <si>
    <t>we are being double paid by those paying us directly &amp; paying county - we need to resolve</t>
  </si>
  <si>
    <t>Admin</t>
  </si>
  <si>
    <t>Police</t>
  </si>
  <si>
    <t>Property</t>
  </si>
  <si>
    <t>Finance</t>
  </si>
  <si>
    <t>Legal</t>
  </si>
  <si>
    <t>General Government</t>
  </si>
  <si>
    <t>Expense by Department</t>
  </si>
  <si>
    <t>Public Safety</t>
  </si>
  <si>
    <t>Public Works</t>
  </si>
  <si>
    <t>Budget Proposal</t>
  </si>
  <si>
    <t>2023/24</t>
  </si>
  <si>
    <t>FYE June 30, 2024</t>
  </si>
  <si>
    <t>Jul-May</t>
  </si>
  <si>
    <t>Jun</t>
  </si>
  <si>
    <t>Vehicle Tracking</t>
  </si>
  <si>
    <t>Public Defender</t>
  </si>
  <si>
    <t>Sale of Assets</t>
  </si>
  <si>
    <t>3600 for xerox</t>
  </si>
  <si>
    <t>ADT</t>
  </si>
  <si>
    <t>I need to increase if I'm going to continue helping with grants</t>
  </si>
  <si>
    <t>attorney fees moved to legal for this report</t>
  </si>
  <si>
    <t>live streaming svc</t>
  </si>
  <si>
    <t>$160 for each officer that attends academy</t>
  </si>
  <si>
    <t>valentine</t>
  </si>
  <si>
    <t>castillo</t>
  </si>
  <si>
    <t>pearson</t>
  </si>
  <si>
    <t>cox</t>
  </si>
  <si>
    <t>carnisha</t>
  </si>
  <si>
    <t>health</t>
  </si>
  <si>
    <t>Jul-Dec</t>
  </si>
  <si>
    <t>Jan-Jun</t>
  </si>
  <si>
    <t>never changes</t>
  </si>
  <si>
    <t>this is an audit adjustment only</t>
  </si>
  <si>
    <t>may have copier lease in future b/c state changed xerox contract (probably for 24/25)</t>
  </si>
  <si>
    <t xml:space="preserve"> Legal Other</t>
  </si>
  <si>
    <t xml:space="preserve"> Burr &amp; Forman</t>
  </si>
  <si>
    <t xml:space="preserve"> Pope Flynn</t>
  </si>
  <si>
    <t xml:space="preserve"> Coastal Alliance</t>
  </si>
  <si>
    <t>Estimate</t>
  </si>
  <si>
    <t xml:space="preserve"> Recreation Fees</t>
  </si>
  <si>
    <t xml:space="preserve"> Lot Lease</t>
  </si>
  <si>
    <t>Laborer PT</t>
  </si>
  <si>
    <t>open</t>
  </si>
  <si>
    <t>new software for PD</t>
  </si>
  <si>
    <r>
      <rPr>
        <sz val="8"/>
        <color indexed="8"/>
        <rFont val="Calibri"/>
        <family val="2"/>
      </rPr>
      <t>←</t>
    </r>
    <r>
      <rPr>
        <sz val="8"/>
        <color indexed="8"/>
        <rFont val="Arial"/>
        <family val="2"/>
      </rPr>
      <t xml:space="preserve"> add amt here</t>
    </r>
  </si>
  <si>
    <t>waccamaw</t>
  </si>
  <si>
    <t xml:space="preserve"> Meeting Expense</t>
  </si>
  <si>
    <t xml:space="preserve"> Janitorial Charges</t>
  </si>
  <si>
    <t xml:space="preserve"> Property Tax</t>
  </si>
  <si>
    <t xml:space="preserve"> Advertising and Promotion</t>
  </si>
  <si>
    <t xml:space="preserve"> Physicals</t>
  </si>
  <si>
    <t xml:space="preserve"> Election Costs</t>
  </si>
  <si>
    <t xml:space="preserve"> Back to School</t>
  </si>
  <si>
    <t xml:space="preserve"> Clean Up Month</t>
  </si>
  <si>
    <t xml:space="preserve"> Fire Building Rent</t>
  </si>
  <si>
    <t xml:space="preserve"> Charitable Contributions</t>
  </si>
  <si>
    <t xml:space="preserve"> Miscellaneous Expenditures</t>
  </si>
  <si>
    <t xml:space="preserve"> Emergency/Storm</t>
  </si>
  <si>
    <t xml:space="preserve"> Debt Payments</t>
  </si>
  <si>
    <t xml:space="preserve"> Uniforms and Clothing</t>
  </si>
  <si>
    <t xml:space="preserve"> Prisoner Housing</t>
  </si>
  <si>
    <t xml:space="preserve"> Grants</t>
  </si>
  <si>
    <t xml:space="preserve"> Donations</t>
  </si>
  <si>
    <t>NOT UPDATED YET - WAITING TO FINALIZE NUMBERS</t>
  </si>
  <si>
    <t xml:space="preserve"> American Rescue Plan</t>
  </si>
  <si>
    <t>emailed county to get unpaid tax balance - Last Year was $35k</t>
  </si>
  <si>
    <t>Raise</t>
  </si>
  <si>
    <t>Corporal</t>
  </si>
  <si>
    <r>
      <t xml:space="preserve">OneTime </t>
    </r>
    <r>
      <rPr>
        <b/>
        <sz val="10"/>
        <color rgb="FF0070C0"/>
        <rFont val="Calibri"/>
        <family val="2"/>
      </rPr>
      <t>↑</t>
    </r>
  </si>
  <si>
    <t>left to spend (cut)</t>
  </si>
  <si>
    <t xml:space="preserve">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</si>
</sst>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0_);_(* \(#,##0.0000\);_(* &quot;-&quot;??_);_(@_)"/>
  </numFmts>
  <fonts count="2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8"/>
      <color rgb="FF000000"/>
      <name val="Arial"/>
      <family val="2"/>
    </font>
    <font>
      <sz val="10"/>
      <color rgb="FF000000"/>
      <name val="Times New Roman"/>
      <family val="1"/>
    </font>
    <font>
      <b/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u val="singleAccounting"/>
      <sz val="8"/>
      <color indexed="8"/>
      <name val="Arial"/>
      <family val="2"/>
    </font>
    <font>
      <sz val="10"/>
      <color rgb="FFFF0000"/>
      <name val="Times New Roman"/>
      <family val="1"/>
    </font>
    <font>
      <u val="singleAccounting"/>
      <sz val="8"/>
      <color indexed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1"/>
      <color indexed="8"/>
      <name val="Calibri"/>
      <family val="2"/>
      <scheme val="minor"/>
    </font>
    <font>
      <sz val="8"/>
      <color indexed="8"/>
      <name val="Calibri"/>
      <family val="2"/>
    </font>
    <font>
      <b/>
      <sz val="9"/>
      <color rgb="FFFF0000"/>
      <name val="Arial"/>
      <family val="2"/>
    </font>
    <font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rgb="FF0070C0"/>
      <name val="Times New Roman"/>
      <family val="1"/>
    </font>
    <font>
      <b/>
      <sz val="10"/>
      <color rgb="FF0070C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wrapText="1"/>
    </xf>
    <xf numFmtId="43" fontId="3" fillId="0" borderId="0" xfId="1" applyFont="1" applyAlignment="1">
      <alignment wrapText="1"/>
    </xf>
    <xf numFmtId="43" fontId="3" fillId="0" borderId="0" xfId="1" applyFont="1" applyAlignment="1"/>
    <xf numFmtId="0" fontId="2" fillId="0" borderId="0" xfId="0" applyFont="1"/>
    <xf numFmtId="0" fontId="2" fillId="0" borderId="0" xfId="0" applyFont="1" applyAlignment="1">
      <alignment wrapText="1"/>
    </xf>
    <xf numFmtId="43" fontId="3" fillId="0" borderId="0" xfId="1" applyFont="1" applyFill="1" applyAlignment="1"/>
    <xf numFmtId="43" fontId="2" fillId="0" borderId="1" xfId="1" applyFont="1" applyBorder="1" applyAlignment="1">
      <alignment horizontal="center" wrapText="1"/>
    </xf>
    <xf numFmtId="4" fontId="3" fillId="0" borderId="0" xfId="0" applyNumberFormat="1" applyFont="1"/>
    <xf numFmtId="43" fontId="3" fillId="0" borderId="0" xfId="0" applyNumberFormat="1" applyFont="1"/>
    <xf numFmtId="0" fontId="3" fillId="0" borderId="0" xfId="0" applyFont="1" applyAlignment="1">
      <alignment horizontal="left" wrapText="1"/>
    </xf>
    <xf numFmtId="43" fontId="2" fillId="0" borderId="0" xfId="1" applyFont="1" applyFill="1" applyAlignment="1">
      <alignment wrapText="1"/>
    </xf>
    <xf numFmtId="43" fontId="2" fillId="0" borderId="0" xfId="1" applyFont="1" applyAlignment="1">
      <alignment wrapText="1"/>
    </xf>
    <xf numFmtId="43" fontId="0" fillId="0" borderId="0" xfId="4" applyFont="1" applyFill="1" applyBorder="1" applyAlignment="1">
      <alignment horizontal="left" vertical="top"/>
    </xf>
    <xf numFmtId="0" fontId="7" fillId="0" borderId="0" xfId="3" applyAlignment="1">
      <alignment horizontal="left" vertical="top"/>
    </xf>
    <xf numFmtId="43" fontId="0" fillId="0" borderId="1" xfId="4" applyFont="1" applyFill="1" applyBorder="1" applyAlignment="1">
      <alignment horizontal="left" vertical="top"/>
    </xf>
    <xf numFmtId="9" fontId="7" fillId="0" borderId="0" xfId="2" applyFont="1" applyFill="1" applyBorder="1" applyAlignment="1">
      <alignment horizontal="left" vertical="top"/>
    </xf>
    <xf numFmtId="43" fontId="8" fillId="0" borderId="0" xfId="4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wrapText="1"/>
    </xf>
    <xf numFmtId="43" fontId="2" fillId="2" borderId="0" xfId="1" applyFont="1" applyFill="1" applyAlignment="1">
      <alignment wrapText="1"/>
    </xf>
    <xf numFmtId="43" fontId="3" fillId="2" borderId="0" xfId="1" applyFont="1" applyFill="1" applyAlignment="1">
      <alignment wrapText="1"/>
    </xf>
    <xf numFmtId="43" fontId="3" fillId="2" borderId="0" xfId="1" applyFont="1" applyFill="1" applyAlignment="1"/>
    <xf numFmtId="0" fontId="2" fillId="3" borderId="1" xfId="0" applyFont="1" applyFill="1" applyBorder="1" applyAlignment="1">
      <alignment horizontal="center" wrapText="1"/>
    </xf>
    <xf numFmtId="43" fontId="2" fillId="3" borderId="0" xfId="1" applyFont="1" applyFill="1" applyAlignment="1">
      <alignment wrapText="1"/>
    </xf>
    <xf numFmtId="43" fontId="3" fillId="3" borderId="0" xfId="1" applyFont="1" applyFill="1" applyAlignment="1">
      <alignment wrapText="1"/>
    </xf>
    <xf numFmtId="43" fontId="3" fillId="3" borderId="0" xfId="1" applyFont="1" applyFill="1" applyAlignment="1"/>
    <xf numFmtId="43" fontId="2" fillId="3" borderId="1" xfId="1" applyFont="1" applyFill="1" applyBorder="1" applyAlignment="1">
      <alignment horizontal="center" wrapText="1"/>
    </xf>
    <xf numFmtId="43" fontId="2" fillId="2" borderId="2" xfId="1" applyFont="1" applyFill="1" applyBorder="1" applyAlignment="1">
      <alignment wrapText="1"/>
    </xf>
    <xf numFmtId="43" fontId="2" fillId="3" borderId="2" xfId="1" applyFont="1" applyFill="1" applyBorder="1" applyAlignment="1">
      <alignment wrapText="1"/>
    </xf>
    <xf numFmtId="43" fontId="2" fillId="0" borderId="2" xfId="1" applyFont="1" applyBorder="1" applyAlignment="1">
      <alignment wrapText="1"/>
    </xf>
    <xf numFmtId="43" fontId="2" fillId="2" borderId="3" xfId="1" applyFont="1" applyFill="1" applyBorder="1" applyAlignment="1"/>
    <xf numFmtId="43" fontId="2" fillId="3" borderId="3" xfId="1" applyFont="1" applyFill="1" applyBorder="1" applyAlignment="1"/>
    <xf numFmtId="43" fontId="2" fillId="0" borderId="3" xfId="1" applyFont="1" applyBorder="1" applyAlignment="1"/>
    <xf numFmtId="43" fontId="0" fillId="4" borderId="0" xfId="4" applyFont="1" applyFill="1" applyBorder="1" applyAlignment="1">
      <alignment horizontal="left" vertical="top"/>
    </xf>
    <xf numFmtId="0" fontId="10" fillId="0" borderId="0" xfId="0" applyFont="1" applyAlignment="1">
      <alignment horizontal="center" wrapText="1"/>
    </xf>
    <xf numFmtId="43" fontId="7" fillId="0" borderId="0" xfId="3" applyNumberFormat="1" applyAlignment="1">
      <alignment horizontal="left" vertical="top"/>
    </xf>
    <xf numFmtId="0" fontId="9" fillId="0" borderId="0" xfId="0" applyFont="1" applyAlignment="1">
      <alignment horizontal="center"/>
    </xf>
    <xf numFmtId="43" fontId="3" fillId="0" borderId="0" xfId="1" applyFont="1" applyFill="1" applyAlignment="1">
      <alignment wrapText="1"/>
    </xf>
    <xf numFmtId="43" fontId="2" fillId="0" borderId="2" xfId="1" applyFont="1" applyFill="1" applyBorder="1" applyAlignment="1">
      <alignment wrapText="1"/>
    </xf>
    <xf numFmtId="43" fontId="2" fillId="0" borderId="3" xfId="1" applyFont="1" applyFill="1" applyBorder="1" applyAlignment="1"/>
    <xf numFmtId="0" fontId="12" fillId="0" borderId="0" xfId="0" applyFont="1"/>
    <xf numFmtId="0" fontId="10" fillId="0" borderId="0" xfId="0" applyFont="1" applyAlignment="1">
      <alignment horizontal="center"/>
    </xf>
    <xf numFmtId="43" fontId="2" fillId="0" borderId="0" xfId="0" applyNumberFormat="1" applyFont="1"/>
    <xf numFmtId="0" fontId="3" fillId="0" borderId="0" xfId="0" applyFont="1" applyAlignment="1">
      <alignment horizontal="left" indent="1"/>
    </xf>
    <xf numFmtId="43" fontId="2" fillId="0" borderId="4" xfId="1" applyFont="1" applyFill="1" applyBorder="1" applyAlignment="1"/>
    <xf numFmtId="0" fontId="2" fillId="0" borderId="0" xfId="0" applyFont="1" applyAlignment="1">
      <alignment horizontal="left" indent="1"/>
    </xf>
    <xf numFmtId="43" fontId="2" fillId="0" borderId="0" xfId="1" applyFont="1" applyFill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 indent="1"/>
    </xf>
    <xf numFmtId="0" fontId="3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 indent="2"/>
    </xf>
    <xf numFmtId="0" fontId="2" fillId="0" borderId="0" xfId="0" applyFont="1" applyAlignment="1">
      <alignment horizontal="left"/>
    </xf>
    <xf numFmtId="43" fontId="3" fillId="0" borderId="0" xfId="1" applyFont="1"/>
    <xf numFmtId="43" fontId="2" fillId="0" borderId="0" xfId="0" applyNumberFormat="1" applyFont="1" applyAlignment="1">
      <alignment horizontal="left" wrapText="1"/>
    </xf>
    <xf numFmtId="43" fontId="7" fillId="0" borderId="0" xfId="1" applyFont="1" applyAlignment="1">
      <alignment horizontal="left" vertical="top"/>
    </xf>
    <xf numFmtId="43" fontId="3" fillId="0" borderId="0" xfId="1" applyFont="1" applyFill="1"/>
    <xf numFmtId="43" fontId="2" fillId="0" borderId="1" xfId="1" applyFont="1" applyFill="1" applyBorder="1" applyAlignment="1">
      <alignment horizontal="center" wrapText="1"/>
    </xf>
    <xf numFmtId="43" fontId="3" fillId="3" borderId="2" xfId="1" applyFont="1" applyFill="1" applyBorder="1" applyAlignment="1">
      <alignment wrapText="1"/>
    </xf>
    <xf numFmtId="43" fontId="15" fillId="0" borderId="0" xfId="4" applyFont="1" applyFill="1" applyBorder="1" applyAlignment="1">
      <alignment horizontal="center" vertical="top"/>
    </xf>
    <xf numFmtId="43" fontId="0" fillId="0" borderId="0" xfId="1" applyFont="1" applyFill="1" applyBorder="1" applyAlignment="1">
      <alignment horizontal="left" vertical="top"/>
    </xf>
    <xf numFmtId="164" fontId="0" fillId="0" borderId="0" xfId="4" applyNumberFormat="1" applyFont="1" applyFill="1" applyBorder="1" applyAlignment="1">
      <alignment horizontal="left" vertical="top"/>
    </xf>
    <xf numFmtId="43" fontId="18" fillId="0" borderId="0" xfId="4" applyFont="1" applyFill="1" applyBorder="1" applyAlignment="1">
      <alignment horizontal="left" vertical="top"/>
    </xf>
    <xf numFmtId="43" fontId="19" fillId="0" borderId="0" xfId="4" applyFont="1" applyFill="1" applyBorder="1" applyAlignment="1">
      <alignment horizontal="center" vertical="top"/>
    </xf>
    <xf numFmtId="43" fontId="18" fillId="0" borderId="1" xfId="4" applyFont="1" applyFill="1" applyBorder="1" applyAlignment="1">
      <alignment horizontal="left" vertical="top"/>
    </xf>
    <xf numFmtId="43" fontId="20" fillId="0" borderId="0" xfId="4" applyFont="1" applyFill="1" applyBorder="1" applyAlignment="1">
      <alignment horizontal="left" vertical="top"/>
    </xf>
    <xf numFmtId="164" fontId="18" fillId="0" borderId="0" xfId="1" applyNumberFormat="1" applyFont="1" applyFill="1" applyBorder="1" applyAlignment="1">
      <alignment horizontal="left" vertical="top"/>
    </xf>
    <xf numFmtId="10" fontId="7" fillId="0" borderId="0" xfId="2" applyNumberFormat="1" applyFont="1" applyAlignment="1">
      <alignment horizontal="left" vertical="top"/>
    </xf>
    <xf numFmtId="10" fontId="0" fillId="0" borderId="0" xfId="2" applyNumberFormat="1" applyFont="1" applyFill="1" applyBorder="1" applyAlignment="1">
      <alignment horizontal="left" vertical="top"/>
    </xf>
    <xf numFmtId="10" fontId="0" fillId="4" borderId="0" xfId="2" applyNumberFormat="1" applyFont="1" applyFill="1" applyBorder="1" applyAlignment="1">
      <alignment horizontal="left" vertical="top"/>
    </xf>
    <xf numFmtId="0" fontId="21" fillId="0" borderId="0" xfId="3" applyFont="1" applyAlignment="1">
      <alignment horizontal="left" vertical="top"/>
    </xf>
    <xf numFmtId="10" fontId="8" fillId="0" borderId="0" xfId="2" applyNumberFormat="1" applyFont="1" applyFill="1" applyBorder="1" applyAlignment="1">
      <alignment horizontal="left" vertical="top"/>
    </xf>
    <xf numFmtId="43" fontId="21" fillId="0" borderId="0" xfId="4" applyFont="1" applyFill="1" applyBorder="1" applyAlignment="1">
      <alignment horizontal="left" vertical="top"/>
    </xf>
    <xf numFmtId="43" fontId="22" fillId="0" borderId="0" xfId="4" applyFont="1" applyFill="1" applyBorder="1" applyAlignment="1">
      <alignment horizontal="center" vertical="top"/>
    </xf>
    <xf numFmtId="43" fontId="21" fillId="0" borderId="0" xfId="1" applyFont="1" applyAlignment="1">
      <alignment horizontal="left" vertical="top"/>
    </xf>
    <xf numFmtId="0" fontId="2" fillId="0" borderId="0" xfId="0" applyFont="1"/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21" fillId="0" borderId="0" xfId="3" applyFont="1" applyAlignment="1">
      <alignment horizontal="left" vertical="top"/>
    </xf>
    <xf numFmtId="0" fontId="11" fillId="0" borderId="0" xfId="3" applyFont="1" applyAlignment="1">
      <alignment horizontal="center" vertical="top" wrapText="1"/>
    </xf>
    <xf numFmtId="43" fontId="21" fillId="0" borderId="0" xfId="1" applyFont="1" applyAlignment="1">
      <alignment horizontal="center" vertical="top"/>
    </xf>
    <xf numFmtId="0" fontId="17" fillId="4" borderId="0" xfId="0" applyFont="1" applyFill="1" applyAlignment="1">
      <alignment horizontal="center"/>
    </xf>
  </cellXfs>
  <cellStyles count="5">
    <cellStyle name="Comma" xfId="1" builtinId="3"/>
    <cellStyle name="Comma 2" xfId="4" xr:uid="{76772010-8861-4D23-8559-67F004E94B39}"/>
    <cellStyle name="Normal" xfId="0" builtinId="0"/>
    <cellStyle name="Normal 2" xfId="3" xr:uid="{94D42C5B-7076-4E90-9734-C9539160862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40"/>
  <sheetViews>
    <sheetView tabSelected="1" workbookViewId="0">
      <pane xSplit="3" ySplit="6" topLeftCell="F82" activePane="bottomRight" state="frozen"/>
      <selection pane="topRight" activeCell="D1" sqref="D1"/>
      <selection pane="bottomLeft" activeCell="A7" sqref="A7"/>
      <selection pane="bottomRight" activeCell="N120" sqref="N120"/>
    </sheetView>
  </sheetViews>
  <sheetFormatPr defaultRowHeight="20.100000000000001" customHeight="1" outlineLevelRow="2" x14ac:dyDescent="0.2"/>
  <cols>
    <col min="1" max="1" width="24.42578125" style="2" customWidth="1"/>
    <col min="2" max="2" width="7" style="2" customWidth="1"/>
    <col min="3" max="3" width="23.42578125" style="2" bestFit="1" customWidth="1"/>
    <col min="4" max="4" width="9.85546875" style="2" hidden="1" customWidth="1"/>
    <col min="5" max="5" width="11.140625" style="2" hidden="1" customWidth="1"/>
    <col min="6" max="8" width="9.5703125" style="2" customWidth="1"/>
    <col min="9" max="9" width="11.140625" style="5" customWidth="1"/>
    <col min="10" max="10" width="9.5703125" style="2" customWidth="1"/>
    <col min="11" max="11" width="10.85546875" style="57" hidden="1" customWidth="1"/>
    <col min="12" max="12" width="9.5703125" style="2" hidden="1" customWidth="1"/>
    <col min="13" max="13" width="11.7109375" style="2" bestFit="1" customWidth="1"/>
    <col min="14" max="14" width="11.140625" style="2" bestFit="1" customWidth="1"/>
    <col min="15" max="15" width="62.140625" style="2" bestFit="1" customWidth="1"/>
    <col min="16" max="17" width="11.140625" style="2" bestFit="1" customWidth="1"/>
    <col min="18" max="16384" width="9.140625" style="2"/>
  </cols>
  <sheetData>
    <row r="1" spans="1:17" ht="20.100000000000001" customHeight="1" x14ac:dyDescent="0.2">
      <c r="A1" s="76" t="s">
        <v>3</v>
      </c>
      <c r="B1" s="76"/>
      <c r="C1" s="76"/>
      <c r="D1" s="78"/>
      <c r="E1" s="78"/>
      <c r="F1" s="78"/>
      <c r="G1" s="78"/>
      <c r="H1" s="78"/>
      <c r="I1" s="78"/>
      <c r="J1" s="78"/>
      <c r="K1" s="78"/>
      <c r="L1" s="38"/>
      <c r="M1" s="38"/>
      <c r="N1" s="38"/>
    </row>
    <row r="2" spans="1:17" ht="20.100000000000001" customHeight="1" x14ac:dyDescent="0.2">
      <c r="A2" s="76" t="s">
        <v>187</v>
      </c>
      <c r="B2" s="76"/>
      <c r="C2" s="76"/>
    </row>
    <row r="3" spans="1:17" ht="20.100000000000001" customHeight="1" x14ac:dyDescent="0.2">
      <c r="A3" s="76" t="s">
        <v>250</v>
      </c>
      <c r="B3" s="76"/>
      <c r="C3" s="76"/>
      <c r="N3" s="11"/>
      <c r="O3" s="11"/>
    </row>
    <row r="4" spans="1:17" ht="20.100000000000001" customHeight="1" x14ac:dyDescent="0.2">
      <c r="J4" s="11"/>
      <c r="L4" s="11"/>
      <c r="M4" s="11"/>
      <c r="N4" s="11">
        <f>+N172</f>
        <v>-17237</v>
      </c>
      <c r="O4" s="2" t="s">
        <v>308</v>
      </c>
    </row>
    <row r="5" spans="1:17" ht="20.100000000000001" customHeight="1" x14ac:dyDescent="0.35">
      <c r="A5" s="3"/>
      <c r="B5" s="3"/>
      <c r="C5" s="3"/>
      <c r="D5" s="77" t="s">
        <v>22</v>
      </c>
      <c r="E5" s="77"/>
      <c r="F5" s="77" t="s">
        <v>25</v>
      </c>
      <c r="G5" s="77"/>
      <c r="H5" s="77" t="s">
        <v>143</v>
      </c>
      <c r="I5" s="77"/>
      <c r="J5" s="77" t="s">
        <v>150</v>
      </c>
      <c r="K5" s="77"/>
      <c r="L5" s="77"/>
      <c r="M5" s="77"/>
      <c r="N5" s="36" t="s">
        <v>249</v>
      </c>
      <c r="O5" s="7"/>
    </row>
    <row r="6" spans="1:17" ht="20.100000000000001" customHeight="1" x14ac:dyDescent="0.2">
      <c r="A6" s="3"/>
      <c r="B6" s="3"/>
      <c r="C6" s="3"/>
      <c r="D6" s="20" t="s">
        <v>24</v>
      </c>
      <c r="E6" s="24" t="s">
        <v>23</v>
      </c>
      <c r="F6" s="20" t="s">
        <v>24</v>
      </c>
      <c r="G6" s="24" t="s">
        <v>23</v>
      </c>
      <c r="H6" s="20" t="s">
        <v>24</v>
      </c>
      <c r="I6" s="28" t="s">
        <v>23</v>
      </c>
      <c r="J6" s="20" t="s">
        <v>24</v>
      </c>
      <c r="K6" s="58" t="s">
        <v>251</v>
      </c>
      <c r="L6" s="49" t="s">
        <v>252</v>
      </c>
      <c r="M6" s="28" t="s">
        <v>277</v>
      </c>
      <c r="N6" s="20" t="s">
        <v>24</v>
      </c>
    </row>
    <row r="7" spans="1:17" s="6" customFormat="1" ht="20.100000000000001" customHeight="1" x14ac:dyDescent="0.2">
      <c r="A7" s="1" t="s">
        <v>0</v>
      </c>
      <c r="C7" s="1"/>
      <c r="D7" s="21"/>
      <c r="E7" s="25"/>
      <c r="F7" s="21"/>
      <c r="G7" s="25"/>
      <c r="H7" s="21"/>
      <c r="I7" s="25"/>
      <c r="J7" s="21"/>
      <c r="K7" s="13"/>
      <c r="L7" s="13"/>
      <c r="M7" s="26"/>
      <c r="N7" s="21"/>
    </row>
    <row r="8" spans="1:17" ht="20.100000000000001" customHeight="1" outlineLevel="2" x14ac:dyDescent="0.2">
      <c r="A8" s="12" t="s">
        <v>163</v>
      </c>
      <c r="B8" s="12">
        <v>411500</v>
      </c>
      <c r="C8" s="12" t="s">
        <v>29</v>
      </c>
      <c r="D8" s="22"/>
      <c r="E8" s="26">
        <f>248.2</f>
        <v>248.2</v>
      </c>
      <c r="F8" s="22"/>
      <c r="G8" s="26">
        <f>849.32</f>
        <v>849.32</v>
      </c>
      <c r="H8" s="22"/>
      <c r="I8" s="26">
        <v>1020.55</v>
      </c>
      <c r="J8" s="22">
        <v>900</v>
      </c>
      <c r="K8" s="39">
        <v>668.88</v>
      </c>
      <c r="L8" s="39">
        <v>400</v>
      </c>
      <c r="M8" s="26">
        <f t="shared" ref="M8:M15" si="0">+K8+L8</f>
        <v>1068.8800000000001</v>
      </c>
      <c r="N8" s="22">
        <v>1000</v>
      </c>
    </row>
    <row r="9" spans="1:17" ht="20.100000000000001" customHeight="1" outlineLevel="2" x14ac:dyDescent="0.2">
      <c r="A9" s="12" t="s">
        <v>163</v>
      </c>
      <c r="B9" s="12">
        <v>411200</v>
      </c>
      <c r="C9" s="12" t="s">
        <v>30</v>
      </c>
      <c r="D9" s="22"/>
      <c r="E9" s="26">
        <f>3218.54</f>
        <v>3218.54</v>
      </c>
      <c r="F9" s="22"/>
      <c r="G9" s="26">
        <f>5180.3</f>
        <v>5180.3</v>
      </c>
      <c r="H9" s="22"/>
      <c r="I9" s="26">
        <v>3888.68</v>
      </c>
      <c r="J9" s="22">
        <v>5200</v>
      </c>
      <c r="K9" s="39">
        <f>8166.71+394.31</f>
        <v>8561.02</v>
      </c>
      <c r="L9" s="39"/>
      <c r="M9" s="26">
        <f t="shared" si="0"/>
        <v>8561.02</v>
      </c>
      <c r="N9" s="22">
        <v>8500</v>
      </c>
    </row>
    <row r="10" spans="1:17" ht="20.100000000000001" customHeight="1" outlineLevel="2" x14ac:dyDescent="0.2">
      <c r="A10" s="12" t="s">
        <v>163</v>
      </c>
      <c r="B10" s="12">
        <v>411300</v>
      </c>
      <c r="C10" s="12" t="s">
        <v>31</v>
      </c>
      <c r="D10" s="22"/>
      <c r="E10" s="26">
        <f>228561.8</f>
        <v>228561.8</v>
      </c>
      <c r="F10" s="22"/>
      <c r="G10" s="26">
        <f>254820.19</f>
        <v>254820.19</v>
      </c>
      <c r="H10" s="22"/>
      <c r="I10" s="26">
        <v>250094.03</v>
      </c>
      <c r="J10" s="22">
        <v>250000</v>
      </c>
      <c r="K10" s="39">
        <f>241695.26+4689.69</f>
        <v>246384.95</v>
      </c>
      <c r="L10" s="39"/>
      <c r="M10" s="26">
        <f t="shared" si="0"/>
        <v>246384.95</v>
      </c>
      <c r="N10" s="22">
        <v>300000</v>
      </c>
      <c r="O10" s="2" t="s">
        <v>304</v>
      </c>
      <c r="P10" s="54"/>
      <c r="Q10" s="11"/>
    </row>
    <row r="11" spans="1:17" ht="20.100000000000001" customHeight="1" outlineLevel="2" x14ac:dyDescent="0.2">
      <c r="A11" s="12" t="s">
        <v>163</v>
      </c>
      <c r="B11" s="12">
        <v>411400</v>
      </c>
      <c r="C11" s="12" t="s">
        <v>32</v>
      </c>
      <c r="D11" s="22"/>
      <c r="E11" s="26">
        <f>8152.27</f>
        <v>8152.27</v>
      </c>
      <c r="F11" s="22"/>
      <c r="G11" s="26">
        <f>6471.28</f>
        <v>6471.28</v>
      </c>
      <c r="H11" s="22"/>
      <c r="I11" s="26">
        <v>8685.48</v>
      </c>
      <c r="J11" s="22">
        <v>7000</v>
      </c>
      <c r="K11" s="39">
        <f>5737.2+144.52</f>
        <v>5881.72</v>
      </c>
      <c r="L11" s="39">
        <v>1200</v>
      </c>
      <c r="M11" s="26">
        <f t="shared" si="0"/>
        <v>7081.72</v>
      </c>
      <c r="N11" s="22">
        <v>7000</v>
      </c>
    </row>
    <row r="12" spans="1:17" s="6" customFormat="1" ht="20.100000000000001" customHeight="1" outlineLevel="1" x14ac:dyDescent="0.2">
      <c r="A12" s="1" t="s">
        <v>164</v>
      </c>
      <c r="B12" s="1"/>
      <c r="C12" s="1"/>
      <c r="D12" s="21">
        <v>235700</v>
      </c>
      <c r="E12" s="25">
        <f>SUBTOTAL(9,E8:E11)</f>
        <v>240180.80999999997</v>
      </c>
      <c r="F12" s="21">
        <v>235700</v>
      </c>
      <c r="G12" s="25">
        <f>SUBTOTAL(9,G8:G11)</f>
        <v>267321.09000000003</v>
      </c>
      <c r="H12" s="21">
        <v>295000</v>
      </c>
      <c r="I12" s="25">
        <f t="shared" ref="I12:L12" si="1">SUBTOTAL(9,I8:I11)</f>
        <v>263688.74</v>
      </c>
      <c r="J12" s="21">
        <f t="shared" si="1"/>
        <v>263100</v>
      </c>
      <c r="K12" s="13">
        <f t="shared" si="1"/>
        <v>261496.57</v>
      </c>
      <c r="L12" s="13">
        <f t="shared" si="1"/>
        <v>1600</v>
      </c>
      <c r="M12" s="25">
        <f>+SUM(K12:L12)</f>
        <v>263096.57</v>
      </c>
      <c r="N12" s="21">
        <f>SUBTOTAL(9,N8:N11)</f>
        <v>316500</v>
      </c>
    </row>
    <row r="13" spans="1:17" ht="20.100000000000001" customHeight="1" outlineLevel="2" x14ac:dyDescent="0.2">
      <c r="A13" s="12" t="s">
        <v>36</v>
      </c>
      <c r="B13" s="12">
        <v>422100</v>
      </c>
      <c r="C13" s="12" t="s">
        <v>37</v>
      </c>
      <c r="D13" s="22"/>
      <c r="E13" s="26">
        <f>20534.81</f>
        <v>20534.810000000001</v>
      </c>
      <c r="F13" s="22"/>
      <c r="G13" s="26">
        <f>20518.61</f>
        <v>20518.61</v>
      </c>
      <c r="H13" s="22"/>
      <c r="I13" s="26">
        <v>21947.95</v>
      </c>
      <c r="J13" s="22">
        <v>21500</v>
      </c>
      <c r="K13" s="39">
        <v>11622.3</v>
      </c>
      <c r="L13" s="39">
        <v>10500</v>
      </c>
      <c r="M13" s="26">
        <f t="shared" si="0"/>
        <v>22122.3</v>
      </c>
      <c r="N13" s="22">
        <v>22000</v>
      </c>
    </row>
    <row r="14" spans="1:17" ht="20.100000000000001" customHeight="1" outlineLevel="2" x14ac:dyDescent="0.2">
      <c r="A14" s="12" t="s">
        <v>36</v>
      </c>
      <c r="B14" s="12">
        <v>422200</v>
      </c>
      <c r="C14" s="12" t="s">
        <v>38</v>
      </c>
      <c r="D14" s="22"/>
      <c r="E14" s="26">
        <f>6252.25</f>
        <v>6252.25</v>
      </c>
      <c r="F14" s="22"/>
      <c r="G14" s="26">
        <f>5746.87</f>
        <v>5746.87</v>
      </c>
      <c r="H14" s="22"/>
      <c r="I14" s="26">
        <v>6390.83</v>
      </c>
      <c r="J14" s="22">
        <v>6200</v>
      </c>
      <c r="K14" s="39">
        <v>6961.56</v>
      </c>
      <c r="L14" s="39"/>
      <c r="M14" s="26">
        <f t="shared" si="0"/>
        <v>6961.56</v>
      </c>
      <c r="N14" s="22">
        <v>7000</v>
      </c>
    </row>
    <row r="15" spans="1:17" ht="20.100000000000001" customHeight="1" outlineLevel="2" x14ac:dyDescent="0.2">
      <c r="A15" s="12" t="s">
        <v>36</v>
      </c>
      <c r="B15" s="12">
        <v>422300</v>
      </c>
      <c r="C15" s="12" t="s">
        <v>39</v>
      </c>
      <c r="D15" s="22"/>
      <c r="E15" s="26">
        <f>36000</f>
        <v>36000</v>
      </c>
      <c r="F15" s="22"/>
      <c r="G15" s="26">
        <f>44000</f>
        <v>44000</v>
      </c>
      <c r="H15" s="22"/>
      <c r="I15" s="26">
        <v>40000</v>
      </c>
      <c r="J15" s="22">
        <v>40000</v>
      </c>
      <c r="K15" s="39">
        <v>37000</v>
      </c>
      <c r="L15" s="39">
        <v>3000</v>
      </c>
      <c r="M15" s="26">
        <f t="shared" si="0"/>
        <v>40000</v>
      </c>
      <c r="N15" s="22">
        <v>40000</v>
      </c>
    </row>
    <row r="16" spans="1:17" s="6" customFormat="1" ht="20.100000000000001" customHeight="1" outlineLevel="1" x14ac:dyDescent="0.2">
      <c r="A16" s="1" t="s">
        <v>145</v>
      </c>
      <c r="B16" s="1"/>
      <c r="C16" s="1"/>
      <c r="D16" s="21">
        <v>68000</v>
      </c>
      <c r="E16" s="25">
        <f>SUBTOTAL(9,E13:E15)</f>
        <v>62787.06</v>
      </c>
      <c r="F16" s="21">
        <v>68000</v>
      </c>
      <c r="G16" s="25">
        <f>SUBTOTAL(9,G13:G15)</f>
        <v>70265.48</v>
      </c>
      <c r="H16" s="21">
        <v>68000</v>
      </c>
      <c r="I16" s="25">
        <f t="shared" ref="I16:L16" si="2">SUBTOTAL(9,I13:I15)</f>
        <v>68338.78</v>
      </c>
      <c r="J16" s="21">
        <f t="shared" si="2"/>
        <v>67700</v>
      </c>
      <c r="K16" s="13">
        <f t="shared" si="2"/>
        <v>55583.86</v>
      </c>
      <c r="L16" s="13">
        <f t="shared" si="2"/>
        <v>13500</v>
      </c>
      <c r="M16" s="25">
        <f>+SUM(K16:L16)</f>
        <v>69083.86</v>
      </c>
      <c r="N16" s="21">
        <f>SUBTOTAL(9,N13:N15)</f>
        <v>69000</v>
      </c>
    </row>
    <row r="17" spans="1:15" ht="20.100000000000001" customHeight="1" outlineLevel="2" x14ac:dyDescent="0.2">
      <c r="A17" s="12" t="s">
        <v>40</v>
      </c>
      <c r="B17" s="12">
        <v>434000</v>
      </c>
      <c r="C17" s="12" t="s">
        <v>41</v>
      </c>
      <c r="D17" s="22"/>
      <c r="E17" s="26">
        <f>2187.7</f>
        <v>2187.6999999999998</v>
      </c>
      <c r="F17" s="22"/>
      <c r="G17" s="26">
        <f>2525.7</f>
        <v>2525.6999999999998</v>
      </c>
      <c r="H17" s="22"/>
      <c r="I17" s="26">
        <v>2356.6999999999998</v>
      </c>
      <c r="J17" s="22">
        <v>2350</v>
      </c>
      <c r="K17" s="39">
        <v>2863.7</v>
      </c>
      <c r="L17" s="39"/>
      <c r="M17" s="26">
        <f t="shared" ref="M17:M26" si="3">+K17+L17</f>
        <v>2863.7</v>
      </c>
      <c r="N17" s="22">
        <v>2900</v>
      </c>
    </row>
    <row r="18" spans="1:15" ht="20.100000000000001" customHeight="1" outlineLevel="2" x14ac:dyDescent="0.2">
      <c r="A18" s="12" t="s">
        <v>40</v>
      </c>
      <c r="B18" s="12">
        <v>418060</v>
      </c>
      <c r="C18" s="12" t="s">
        <v>42</v>
      </c>
      <c r="D18" s="22"/>
      <c r="E18" s="26">
        <f>791.28</f>
        <v>791.28</v>
      </c>
      <c r="F18" s="22"/>
      <c r="G18" s="26">
        <f>694.97</f>
        <v>694.97</v>
      </c>
      <c r="H18" s="22"/>
      <c r="I18" s="26">
        <v>1463.4</v>
      </c>
      <c r="J18" s="22">
        <v>1000</v>
      </c>
      <c r="K18" s="39">
        <v>1187.71</v>
      </c>
      <c r="L18" s="39">
        <v>350</v>
      </c>
      <c r="M18" s="26">
        <f t="shared" si="3"/>
        <v>1537.71</v>
      </c>
      <c r="N18" s="22">
        <v>1600</v>
      </c>
    </row>
    <row r="19" spans="1:15" ht="20.100000000000001" customHeight="1" outlineLevel="2" x14ac:dyDescent="0.2">
      <c r="A19" s="12" t="s">
        <v>165</v>
      </c>
      <c r="B19" s="12">
        <v>418100</v>
      </c>
      <c r="C19" s="12" t="s">
        <v>62</v>
      </c>
      <c r="D19" s="22"/>
      <c r="E19" s="26">
        <f>900</f>
        <v>900</v>
      </c>
      <c r="F19" s="22"/>
      <c r="G19" s="26">
        <f>7600</f>
        <v>7600</v>
      </c>
      <c r="H19" s="22"/>
      <c r="I19" s="26">
        <v>3450</v>
      </c>
      <c r="J19" s="22">
        <v>1200</v>
      </c>
      <c r="K19" s="39"/>
      <c r="L19" s="39">
        <v>3450</v>
      </c>
      <c r="M19" s="26">
        <f t="shared" si="3"/>
        <v>3450</v>
      </c>
      <c r="N19" s="22">
        <v>3500</v>
      </c>
    </row>
    <row r="20" spans="1:15" ht="20.100000000000001" customHeight="1" outlineLevel="2" x14ac:dyDescent="0.2">
      <c r="A20" s="12" t="s">
        <v>40</v>
      </c>
      <c r="B20" s="12">
        <v>415000</v>
      </c>
      <c r="C20" s="12" t="s">
        <v>43</v>
      </c>
      <c r="D20" s="22"/>
      <c r="E20" s="26">
        <f>369.8</f>
        <v>369.8</v>
      </c>
      <c r="F20" s="22"/>
      <c r="G20" s="26">
        <f>369.8</f>
        <v>369.8</v>
      </c>
      <c r="H20" s="22">
        <v>0</v>
      </c>
      <c r="I20" s="26">
        <v>369.8</v>
      </c>
      <c r="J20" s="22">
        <v>370</v>
      </c>
      <c r="K20" s="39">
        <v>369.8</v>
      </c>
      <c r="L20" s="39"/>
      <c r="M20" s="26">
        <f t="shared" si="3"/>
        <v>369.8</v>
      </c>
      <c r="N20" s="22">
        <v>370</v>
      </c>
      <c r="O20" s="11" t="s">
        <v>270</v>
      </c>
    </row>
    <row r="21" spans="1:15" ht="20.100000000000001" customHeight="1" outlineLevel="2" x14ac:dyDescent="0.2">
      <c r="A21" s="12" t="s">
        <v>40</v>
      </c>
      <c r="B21" s="12">
        <v>431000</v>
      </c>
      <c r="C21" s="12" t="s">
        <v>44</v>
      </c>
      <c r="D21" s="22"/>
      <c r="E21" s="26">
        <f>7918.84</f>
        <v>7918.84</v>
      </c>
      <c r="F21" s="22"/>
      <c r="G21" s="26">
        <f>8070.62</f>
        <v>8070.62</v>
      </c>
      <c r="H21" s="22"/>
      <c r="I21" s="26">
        <v>5566.82</v>
      </c>
      <c r="J21" s="22">
        <v>7000</v>
      </c>
      <c r="K21" s="39">
        <v>3426.69</v>
      </c>
      <c r="L21" s="39">
        <v>2200</v>
      </c>
      <c r="M21" s="26">
        <f t="shared" si="3"/>
        <v>5626.6900000000005</v>
      </c>
      <c r="N21" s="22">
        <v>5600</v>
      </c>
    </row>
    <row r="22" spans="1:15" ht="20.100000000000001" customHeight="1" outlineLevel="2" x14ac:dyDescent="0.2">
      <c r="A22" s="12" t="s">
        <v>40</v>
      </c>
      <c r="B22" s="12">
        <v>433100</v>
      </c>
      <c r="C22" s="12" t="s">
        <v>66</v>
      </c>
      <c r="D22" s="22"/>
      <c r="E22" s="26">
        <f>8124.86</f>
        <v>8124.86</v>
      </c>
      <c r="F22" s="22"/>
      <c r="G22" s="26">
        <f>7632.7</f>
        <v>7632.7</v>
      </c>
      <c r="H22" s="22"/>
      <c r="I22" s="26">
        <v>5412.85</v>
      </c>
      <c r="J22" s="22">
        <v>7500</v>
      </c>
      <c r="K22" s="39">
        <v>4.1500000000000004</v>
      </c>
      <c r="L22" s="39">
        <v>5400</v>
      </c>
      <c r="M22" s="26">
        <f t="shared" si="3"/>
        <v>5404.15</v>
      </c>
      <c r="N22" s="22">
        <v>5400</v>
      </c>
    </row>
    <row r="23" spans="1:15" ht="20.100000000000001" customHeight="1" outlineLevel="2" x14ac:dyDescent="0.2">
      <c r="A23" s="12" t="s">
        <v>40</v>
      </c>
      <c r="B23" s="12">
        <v>433200</v>
      </c>
      <c r="C23" s="12" t="s">
        <v>67</v>
      </c>
      <c r="D23" s="22"/>
      <c r="E23" s="26">
        <f>32488.92</f>
        <v>32488.92</v>
      </c>
      <c r="F23" s="22"/>
      <c r="G23" s="26">
        <f>36019.53</f>
        <v>36019.53</v>
      </c>
      <c r="H23" s="22"/>
      <c r="I23" s="26">
        <v>43994.15</v>
      </c>
      <c r="J23" s="22">
        <v>36000</v>
      </c>
      <c r="K23" s="39">
        <v>2521.1799999999998</v>
      </c>
      <c r="L23" s="39">
        <v>40000</v>
      </c>
      <c r="M23" s="26">
        <f t="shared" si="3"/>
        <v>42521.18</v>
      </c>
      <c r="N23" s="22">
        <v>44000</v>
      </c>
    </row>
    <row r="24" spans="1:15" ht="20.100000000000001" customHeight="1" outlineLevel="2" x14ac:dyDescent="0.2">
      <c r="A24" s="12" t="s">
        <v>40</v>
      </c>
      <c r="B24" s="12">
        <v>433300</v>
      </c>
      <c r="C24" s="12" t="s">
        <v>68</v>
      </c>
      <c r="D24" s="22"/>
      <c r="E24" s="26">
        <f>7154</f>
        <v>7154</v>
      </c>
      <c r="F24" s="22"/>
      <c r="G24" s="26">
        <f>8564</f>
        <v>8564</v>
      </c>
      <c r="H24" s="22"/>
      <c r="I24" s="26">
        <v>0</v>
      </c>
      <c r="J24" s="22">
        <v>0</v>
      </c>
      <c r="K24" s="39">
        <v>5399</v>
      </c>
      <c r="L24" s="39">
        <v>1500</v>
      </c>
      <c r="M24" s="26">
        <f t="shared" si="3"/>
        <v>6899</v>
      </c>
      <c r="N24" s="22">
        <v>6800</v>
      </c>
    </row>
    <row r="25" spans="1:15" ht="20.100000000000001" customHeight="1" outlineLevel="2" x14ac:dyDescent="0.2">
      <c r="A25" s="12" t="s">
        <v>40</v>
      </c>
      <c r="B25" s="12">
        <v>433400</v>
      </c>
      <c r="C25" s="12" t="s">
        <v>69</v>
      </c>
      <c r="D25" s="22"/>
      <c r="E25" s="26">
        <f>921.31</f>
        <v>921.31</v>
      </c>
      <c r="F25" s="22"/>
      <c r="G25" s="26">
        <f>915.78</f>
        <v>915.78</v>
      </c>
      <c r="H25" s="22"/>
      <c r="I25" s="26">
        <v>895.64</v>
      </c>
      <c r="J25" s="22">
        <v>870</v>
      </c>
      <c r="K25" s="39">
        <v>2.78</v>
      </c>
      <c r="L25" s="39">
        <v>900</v>
      </c>
      <c r="M25" s="26">
        <f t="shared" si="3"/>
        <v>902.78</v>
      </c>
      <c r="N25" s="22">
        <v>900</v>
      </c>
    </row>
    <row r="26" spans="1:15" ht="20.100000000000001" customHeight="1" outlineLevel="2" x14ac:dyDescent="0.2">
      <c r="A26" s="12" t="s">
        <v>40</v>
      </c>
      <c r="B26" s="12">
        <v>433500</v>
      </c>
      <c r="C26" s="12" t="s">
        <v>278</v>
      </c>
      <c r="D26" s="22"/>
      <c r="E26" s="26">
        <f>1019</f>
        <v>1019</v>
      </c>
      <c r="F26" s="22"/>
      <c r="G26" s="26">
        <v>0</v>
      </c>
      <c r="H26" s="22"/>
      <c r="I26" s="26">
        <v>1019</v>
      </c>
      <c r="J26" s="22">
        <v>1019</v>
      </c>
      <c r="K26" s="39"/>
      <c r="L26" s="39"/>
      <c r="M26" s="26">
        <f t="shared" si="3"/>
        <v>0</v>
      </c>
      <c r="N26" s="22">
        <v>1019</v>
      </c>
    </row>
    <row r="27" spans="1:15" s="6" customFormat="1" ht="20.100000000000001" customHeight="1" outlineLevel="1" x14ac:dyDescent="0.2">
      <c r="A27" s="1" t="s">
        <v>146</v>
      </c>
      <c r="B27" s="1"/>
      <c r="C27" s="1"/>
      <c r="D27" s="21">
        <v>53000</v>
      </c>
      <c r="E27" s="25">
        <f>SUBTOTAL(9,E17:E26)</f>
        <v>61875.709999999992</v>
      </c>
      <c r="F27" s="21">
        <v>53000</v>
      </c>
      <c r="G27" s="25">
        <f>SUBTOTAL(9,G17:G26)</f>
        <v>72393.100000000006</v>
      </c>
      <c r="H27" s="21">
        <v>58000</v>
      </c>
      <c r="I27" s="25">
        <f t="shared" ref="I27:L27" si="4">SUBTOTAL(9,I17:I26)</f>
        <v>64528.36</v>
      </c>
      <c r="J27" s="21">
        <f t="shared" si="4"/>
        <v>57309</v>
      </c>
      <c r="K27" s="13">
        <f t="shared" si="4"/>
        <v>15775.01</v>
      </c>
      <c r="L27" s="13">
        <f t="shared" si="4"/>
        <v>53800</v>
      </c>
      <c r="M27" s="25">
        <f>+SUM(K27:L27)</f>
        <v>69575.009999999995</v>
      </c>
      <c r="N27" s="21">
        <f>SUBTOTAL(9,N17:N26)</f>
        <v>72089</v>
      </c>
    </row>
    <row r="28" spans="1:15" ht="20.100000000000001" customHeight="1" outlineLevel="2" x14ac:dyDescent="0.2">
      <c r="A28" s="12" t="s">
        <v>47</v>
      </c>
      <c r="B28" s="12">
        <v>421100</v>
      </c>
      <c r="C28" s="12" t="s">
        <v>48</v>
      </c>
      <c r="D28" s="22"/>
      <c r="E28" s="26">
        <f>5915</f>
        <v>5915</v>
      </c>
      <c r="F28" s="22"/>
      <c r="G28" s="26">
        <f>20984</f>
        <v>20984</v>
      </c>
      <c r="H28" s="22"/>
      <c r="I28" s="26">
        <v>22931.75</v>
      </c>
      <c r="J28" s="22">
        <v>5000</v>
      </c>
      <c r="K28" s="39">
        <v>15134.5</v>
      </c>
      <c r="L28" s="39">
        <v>0</v>
      </c>
      <c r="M28" s="26">
        <f t="shared" ref="M28:M36" si="5">+K28+L28</f>
        <v>15134.5</v>
      </c>
      <c r="N28" s="22">
        <v>20000</v>
      </c>
    </row>
    <row r="29" spans="1:15" ht="20.100000000000001" customHeight="1" outlineLevel="2" x14ac:dyDescent="0.2">
      <c r="A29" s="12" t="s">
        <v>47</v>
      </c>
      <c r="B29" s="12">
        <v>421200</v>
      </c>
      <c r="C29" s="12" t="s">
        <v>49</v>
      </c>
      <c r="D29" s="22"/>
      <c r="E29" s="26">
        <f>300038.61</f>
        <v>300038.61</v>
      </c>
      <c r="F29" s="22"/>
      <c r="G29" s="26">
        <f>317723.95</f>
        <v>317723.95</v>
      </c>
      <c r="H29" s="22"/>
      <c r="I29" s="26">
        <v>759446.14</v>
      </c>
      <c r="J29" s="22">
        <v>420000</v>
      </c>
      <c r="K29" s="39">
        <v>447871.09</v>
      </c>
      <c r="L29" s="39"/>
      <c r="M29" s="26">
        <f t="shared" si="5"/>
        <v>447871.09</v>
      </c>
      <c r="N29" s="22">
        <v>505000</v>
      </c>
    </row>
    <row r="30" spans="1:15" ht="20.100000000000001" customHeight="1" outlineLevel="2" x14ac:dyDescent="0.2">
      <c r="A30" s="12" t="s">
        <v>47</v>
      </c>
      <c r="B30" s="12">
        <v>421300</v>
      </c>
      <c r="C30" s="12" t="s">
        <v>50</v>
      </c>
      <c r="D30" s="22"/>
      <c r="E30" s="26">
        <f>180</f>
        <v>180</v>
      </c>
      <c r="F30" s="22"/>
      <c r="G30" s="26">
        <v>0</v>
      </c>
      <c r="H30" s="22"/>
      <c r="I30" s="26">
        <v>0</v>
      </c>
      <c r="J30" s="22">
        <v>0</v>
      </c>
      <c r="K30" s="39"/>
      <c r="L30" s="39">
        <v>0</v>
      </c>
      <c r="M30" s="26">
        <f t="shared" si="5"/>
        <v>0</v>
      </c>
      <c r="N30" s="22">
        <v>0</v>
      </c>
    </row>
    <row r="31" spans="1:15" ht="20.100000000000001" customHeight="1" outlineLevel="2" x14ac:dyDescent="0.2">
      <c r="A31" s="12" t="s">
        <v>47</v>
      </c>
      <c r="B31" s="12">
        <v>421999</v>
      </c>
      <c r="C31" s="12" t="s">
        <v>51</v>
      </c>
      <c r="D31" s="22"/>
      <c r="E31" s="26">
        <f>904.85</f>
        <v>904.85</v>
      </c>
      <c r="F31" s="22"/>
      <c r="G31" s="26">
        <f>462.3</f>
        <v>462.3</v>
      </c>
      <c r="H31" s="22"/>
      <c r="I31" s="26">
        <v>1305.79</v>
      </c>
      <c r="J31" s="22">
        <v>0</v>
      </c>
      <c r="K31" s="39">
        <v>899.06</v>
      </c>
      <c r="L31" s="39">
        <v>0</v>
      </c>
      <c r="M31" s="26">
        <f t="shared" si="5"/>
        <v>899.06</v>
      </c>
      <c r="N31" s="22">
        <v>0</v>
      </c>
    </row>
    <row r="32" spans="1:15" ht="20.100000000000001" customHeight="1" outlineLevel="2" x14ac:dyDescent="0.2">
      <c r="A32" s="12" t="s">
        <v>47</v>
      </c>
      <c r="B32" s="12">
        <v>421110</v>
      </c>
      <c r="C32" s="12" t="s">
        <v>52</v>
      </c>
      <c r="D32" s="22"/>
      <c r="E32" s="26">
        <f>2625</f>
        <v>2625</v>
      </c>
      <c r="F32" s="22"/>
      <c r="G32" s="26">
        <f>2050</f>
        <v>2050</v>
      </c>
      <c r="H32" s="22"/>
      <c r="I32" s="26">
        <v>5405</v>
      </c>
      <c r="J32" s="22">
        <f>41*75</f>
        <v>3075</v>
      </c>
      <c r="K32" s="39">
        <v>1275</v>
      </c>
      <c r="L32" s="39">
        <f>3450-K32</f>
        <v>2175</v>
      </c>
      <c r="M32" s="26">
        <f t="shared" si="5"/>
        <v>3450</v>
      </c>
      <c r="N32" s="22">
        <f>46*75</f>
        <v>3450</v>
      </c>
    </row>
    <row r="33" spans="1:15" ht="20.100000000000001" customHeight="1" outlineLevel="2" x14ac:dyDescent="0.2">
      <c r="A33" s="12" t="s">
        <v>47</v>
      </c>
      <c r="B33" s="12">
        <v>421130</v>
      </c>
      <c r="C33" s="12" t="s">
        <v>53</v>
      </c>
      <c r="D33" s="22"/>
      <c r="E33" s="26">
        <v>0</v>
      </c>
      <c r="F33" s="22"/>
      <c r="G33" s="26">
        <f>200</f>
        <v>200</v>
      </c>
      <c r="H33" s="22"/>
      <c r="I33" s="26">
        <v>0</v>
      </c>
      <c r="J33" s="22">
        <v>0</v>
      </c>
      <c r="K33" s="39"/>
      <c r="L33" s="39">
        <v>0</v>
      </c>
      <c r="M33" s="26">
        <f t="shared" si="5"/>
        <v>0</v>
      </c>
      <c r="N33" s="22">
        <v>0</v>
      </c>
    </row>
    <row r="34" spans="1:15" ht="20.100000000000001" customHeight="1" outlineLevel="2" x14ac:dyDescent="0.2">
      <c r="A34" s="12" t="s">
        <v>47</v>
      </c>
      <c r="B34" s="12">
        <v>421500</v>
      </c>
      <c r="C34" s="12" t="s">
        <v>54</v>
      </c>
      <c r="D34" s="22"/>
      <c r="E34" s="26">
        <v>0</v>
      </c>
      <c r="F34" s="22"/>
      <c r="G34" s="26">
        <f>800</f>
        <v>800</v>
      </c>
      <c r="H34" s="22"/>
      <c r="I34" s="26">
        <v>1400</v>
      </c>
      <c r="J34" s="22">
        <v>0</v>
      </c>
      <c r="K34" s="39"/>
      <c r="L34" s="39">
        <v>0</v>
      </c>
      <c r="M34" s="26">
        <f t="shared" si="5"/>
        <v>0</v>
      </c>
      <c r="N34" s="22">
        <v>0</v>
      </c>
    </row>
    <row r="35" spans="1:15" ht="20.100000000000001" customHeight="1" outlineLevel="2" x14ac:dyDescent="0.2">
      <c r="A35" s="12" t="s">
        <v>47</v>
      </c>
      <c r="B35" s="12">
        <v>421400</v>
      </c>
      <c r="C35" s="12" t="s">
        <v>55</v>
      </c>
      <c r="D35" s="22"/>
      <c r="E35" s="26">
        <v>0</v>
      </c>
      <c r="F35" s="22"/>
      <c r="G35" s="26">
        <f>80</f>
        <v>80</v>
      </c>
      <c r="H35" s="22"/>
      <c r="I35" s="26">
        <v>0</v>
      </c>
      <c r="J35" s="22">
        <v>0</v>
      </c>
      <c r="K35" s="39"/>
      <c r="L35" s="39">
        <v>0</v>
      </c>
      <c r="M35" s="26">
        <f t="shared" si="5"/>
        <v>0</v>
      </c>
      <c r="N35" s="22">
        <v>0</v>
      </c>
    </row>
    <row r="36" spans="1:15" ht="20.100000000000001" customHeight="1" outlineLevel="2" x14ac:dyDescent="0.2">
      <c r="A36" s="12" t="s">
        <v>47</v>
      </c>
      <c r="B36" s="12">
        <v>421800</v>
      </c>
      <c r="C36" s="12" t="s">
        <v>56</v>
      </c>
      <c r="D36" s="22"/>
      <c r="E36" s="26">
        <f>20</f>
        <v>20</v>
      </c>
      <c r="F36" s="22"/>
      <c r="G36" s="26">
        <f>100</f>
        <v>100</v>
      </c>
      <c r="H36" s="22"/>
      <c r="I36" s="26">
        <v>20</v>
      </c>
      <c r="J36" s="22">
        <v>0</v>
      </c>
      <c r="K36" s="39">
        <v>80</v>
      </c>
      <c r="L36" s="39">
        <v>0</v>
      </c>
      <c r="M36" s="26">
        <f t="shared" si="5"/>
        <v>80</v>
      </c>
      <c r="N36" s="22">
        <v>0</v>
      </c>
    </row>
    <row r="37" spans="1:15" s="6" customFormat="1" ht="20.100000000000001" customHeight="1" outlineLevel="1" x14ac:dyDescent="0.2">
      <c r="A37" s="1" t="s">
        <v>147</v>
      </c>
      <c r="B37" s="1"/>
      <c r="C37" s="1"/>
      <c r="D37" s="21">
        <v>355000</v>
      </c>
      <c r="E37" s="25">
        <f>SUBTOTAL(9,E28:E36)</f>
        <v>309683.45999999996</v>
      </c>
      <c r="F37" s="21">
        <v>355000</v>
      </c>
      <c r="G37" s="25">
        <f>SUBTOTAL(9,G28:G36)</f>
        <v>342400.25</v>
      </c>
      <c r="H37" s="21">
        <v>337000</v>
      </c>
      <c r="I37" s="25">
        <f>SUBTOTAL(9,I28:I36)</f>
        <v>790508.68</v>
      </c>
      <c r="J37" s="21">
        <f>SUBTOTAL(9,J28:J36)</f>
        <v>428075</v>
      </c>
      <c r="K37" s="13">
        <f>SUBTOTAL(9,K28:K36)</f>
        <v>465259.65</v>
      </c>
      <c r="L37" s="13">
        <f>SUBTOTAL(9,L28:L36)</f>
        <v>2175</v>
      </c>
      <c r="M37" s="25">
        <f>+SUM(K37:L37)</f>
        <v>467434.65</v>
      </c>
      <c r="N37" s="21">
        <f>SUBTOTAL(9,N28:N36)</f>
        <v>528450</v>
      </c>
    </row>
    <row r="38" spans="1:15" ht="20.100000000000001" customHeight="1" outlineLevel="2" x14ac:dyDescent="0.2">
      <c r="A38" s="12" t="s">
        <v>165</v>
      </c>
      <c r="B38" s="12">
        <v>418200</v>
      </c>
      <c r="C38" s="12" t="s">
        <v>61</v>
      </c>
      <c r="D38" s="22"/>
      <c r="E38" s="26">
        <f>6302.1</f>
        <v>6302.1</v>
      </c>
      <c r="F38" s="22"/>
      <c r="G38" s="26">
        <f>18467.68</f>
        <v>18467.68</v>
      </c>
      <c r="H38" s="22"/>
      <c r="I38" s="26">
        <v>29967.23</v>
      </c>
      <c r="J38" s="22">
        <v>15000</v>
      </c>
      <c r="K38" s="39">
        <v>28044.83</v>
      </c>
      <c r="L38" s="39">
        <f>+K38/10*2</f>
        <v>5608.9660000000003</v>
      </c>
      <c r="M38" s="26">
        <f>+K38+L38</f>
        <v>33653.796000000002</v>
      </c>
      <c r="N38" s="22">
        <v>34000</v>
      </c>
    </row>
    <row r="39" spans="1:15" ht="20.100000000000001" customHeight="1" outlineLevel="2" x14ac:dyDescent="0.2">
      <c r="A39" s="12" t="s">
        <v>165</v>
      </c>
      <c r="B39" s="12">
        <v>418300</v>
      </c>
      <c r="C39" s="12" t="s">
        <v>63</v>
      </c>
      <c r="D39" s="22"/>
      <c r="E39" s="26">
        <v>48110.15</v>
      </c>
      <c r="F39" s="22"/>
      <c r="G39" s="26">
        <f>73954.1</f>
        <v>73954.100000000006</v>
      </c>
      <c r="H39" s="22"/>
      <c r="I39" s="26">
        <v>79154.73</v>
      </c>
      <c r="J39" s="22">
        <v>55000</v>
      </c>
      <c r="K39" s="39">
        <v>62548.37</v>
      </c>
      <c r="L39" s="39">
        <f>+K39/10*2+5000</f>
        <v>17509.673999999999</v>
      </c>
      <c r="M39" s="26">
        <f>+K39+L39</f>
        <v>80058.043999999994</v>
      </c>
      <c r="N39" s="22">
        <v>113656</v>
      </c>
    </row>
    <row r="40" spans="1:15" ht="20.100000000000001" customHeight="1" outlineLevel="2" x14ac:dyDescent="0.2">
      <c r="A40" s="12" t="s">
        <v>165</v>
      </c>
      <c r="B40" s="12">
        <v>418310</v>
      </c>
      <c r="C40" s="12" t="s">
        <v>64</v>
      </c>
      <c r="D40" s="22"/>
      <c r="E40" s="26">
        <f>0</f>
        <v>0</v>
      </c>
      <c r="F40" s="22"/>
      <c r="G40" s="26">
        <f>124.58</f>
        <v>124.58</v>
      </c>
      <c r="H40" s="22"/>
      <c r="I40" s="26">
        <v>637.29999999999995</v>
      </c>
      <c r="J40" s="22">
        <v>0</v>
      </c>
      <c r="K40" s="39">
        <v>237.77</v>
      </c>
      <c r="L40" s="39">
        <v>0</v>
      </c>
      <c r="M40" s="26">
        <f>+K40+L40</f>
        <v>237.77</v>
      </c>
      <c r="N40" s="22">
        <v>0</v>
      </c>
    </row>
    <row r="41" spans="1:15" s="6" customFormat="1" ht="20.100000000000001" customHeight="1" outlineLevel="1" x14ac:dyDescent="0.2">
      <c r="A41" s="1" t="s">
        <v>166</v>
      </c>
      <c r="B41" s="1"/>
      <c r="C41" s="1"/>
      <c r="D41" s="21">
        <v>35000</v>
      </c>
      <c r="E41" s="25">
        <f>SUBTOTAL(9,E38:E40)</f>
        <v>54412.25</v>
      </c>
      <c r="F41" s="21">
        <v>35000</v>
      </c>
      <c r="G41" s="25">
        <f>SUBTOTAL(9,G38:G40)</f>
        <v>92546.36</v>
      </c>
      <c r="H41" s="21">
        <v>45000</v>
      </c>
      <c r="I41" s="25">
        <f t="shared" ref="I41:L41" si="6">SUBTOTAL(9,I38:I40)</f>
        <v>109759.26</v>
      </c>
      <c r="J41" s="21">
        <f t="shared" si="6"/>
        <v>70000</v>
      </c>
      <c r="K41" s="13">
        <f t="shared" si="6"/>
        <v>90830.970000000016</v>
      </c>
      <c r="L41" s="13">
        <f t="shared" si="6"/>
        <v>23118.639999999999</v>
      </c>
      <c r="M41" s="25">
        <f>+SUM(K41:L41)</f>
        <v>113949.61000000002</v>
      </c>
      <c r="N41" s="21">
        <f>SUBTOTAL(9,N38:N40)</f>
        <v>147656</v>
      </c>
    </row>
    <row r="42" spans="1:15" ht="20.100000000000001" customHeight="1" outlineLevel="2" x14ac:dyDescent="0.2">
      <c r="A42" s="12" t="s">
        <v>26</v>
      </c>
      <c r="B42" s="12">
        <v>442800</v>
      </c>
      <c r="C42" s="12" t="s">
        <v>27</v>
      </c>
      <c r="D42" s="22"/>
      <c r="E42" s="26">
        <f>21</f>
        <v>21</v>
      </c>
      <c r="F42" s="22"/>
      <c r="G42" s="26">
        <f>531.25</f>
        <v>531.25</v>
      </c>
      <c r="H42" s="22"/>
      <c r="I42" s="26">
        <v>65.36</v>
      </c>
      <c r="J42" s="22">
        <v>0</v>
      </c>
      <c r="K42" s="39">
        <v>307.39999999999998</v>
      </c>
      <c r="L42" s="39"/>
      <c r="M42" s="26">
        <f>+K42+L42</f>
        <v>307.39999999999998</v>
      </c>
      <c r="N42" s="22">
        <v>150</v>
      </c>
    </row>
    <row r="43" spans="1:15" ht="20.100000000000001" customHeight="1" outlineLevel="2" x14ac:dyDescent="0.2">
      <c r="A43" s="12" t="s">
        <v>26</v>
      </c>
      <c r="B43" s="12">
        <v>443140</v>
      </c>
      <c r="C43" s="12" t="s">
        <v>279</v>
      </c>
      <c r="D43" s="22"/>
      <c r="E43" s="26"/>
      <c r="F43" s="22"/>
      <c r="G43" s="26"/>
      <c r="H43" s="22"/>
      <c r="I43" s="26">
        <v>24400</v>
      </c>
      <c r="J43" s="22">
        <v>24000</v>
      </c>
      <c r="K43" s="39">
        <v>24000</v>
      </c>
      <c r="L43" s="39">
        <v>0</v>
      </c>
      <c r="M43" s="26">
        <f>+K43+L43</f>
        <v>24000</v>
      </c>
      <c r="N43" s="22">
        <v>24000</v>
      </c>
    </row>
    <row r="44" spans="1:15" ht="20.100000000000001" customHeight="1" outlineLevel="2" x14ac:dyDescent="0.2">
      <c r="A44" s="12" t="s">
        <v>26</v>
      </c>
      <c r="B44" s="12">
        <v>443100</v>
      </c>
      <c r="C44" s="12" t="s">
        <v>65</v>
      </c>
      <c r="D44" s="22"/>
      <c r="E44" s="26">
        <f>2875</f>
        <v>2875</v>
      </c>
      <c r="F44" s="22"/>
      <c r="G44" s="26">
        <v>0</v>
      </c>
      <c r="H44" s="22"/>
      <c r="I44" s="26">
        <v>0</v>
      </c>
      <c r="J44" s="22">
        <v>0</v>
      </c>
      <c r="K44" s="39">
        <v>150</v>
      </c>
      <c r="L44" s="39"/>
      <c r="M44" s="26">
        <f>+K44+L44</f>
        <v>150</v>
      </c>
      <c r="N44" s="22"/>
    </row>
    <row r="45" spans="1:15" s="6" customFormat="1" ht="20.100000000000001" customHeight="1" outlineLevel="1" x14ac:dyDescent="0.2">
      <c r="A45" s="1" t="s">
        <v>144</v>
      </c>
      <c r="B45" s="1"/>
      <c r="C45" s="1"/>
      <c r="D45" s="21">
        <v>1500</v>
      </c>
      <c r="E45" s="25">
        <f>SUBTOTAL(9,E42:E44)</f>
        <v>2896</v>
      </c>
      <c r="F45" s="21">
        <v>1500</v>
      </c>
      <c r="G45" s="25">
        <f t="shared" ref="G45:L45" si="7">SUBTOTAL(9,G42:G44)</f>
        <v>531.25</v>
      </c>
      <c r="H45" s="21">
        <f t="shared" si="7"/>
        <v>0</v>
      </c>
      <c r="I45" s="25">
        <f t="shared" si="7"/>
        <v>24465.360000000001</v>
      </c>
      <c r="J45" s="21">
        <f t="shared" si="7"/>
        <v>24000</v>
      </c>
      <c r="K45" s="13">
        <f t="shared" si="7"/>
        <v>24457.4</v>
      </c>
      <c r="L45" s="13">
        <f t="shared" si="7"/>
        <v>0</v>
      </c>
      <c r="M45" s="25">
        <f>+SUM(K45:L45)</f>
        <v>24457.4</v>
      </c>
      <c r="N45" s="21">
        <f>SUBTOTAL(9,N42:N44)</f>
        <v>24150</v>
      </c>
    </row>
    <row r="46" spans="1:15" ht="20.100000000000001" customHeight="1" outlineLevel="2" x14ac:dyDescent="0.2">
      <c r="A46" s="12" t="s">
        <v>34</v>
      </c>
      <c r="B46" s="12">
        <v>451100</v>
      </c>
      <c r="C46" s="12" t="s">
        <v>33</v>
      </c>
      <c r="D46" s="22"/>
      <c r="E46" s="26">
        <f>11375.5</f>
        <v>11375.5</v>
      </c>
      <c r="F46" s="22"/>
      <c r="G46" s="26">
        <f>12157.64</f>
        <v>12157.64</v>
      </c>
      <c r="H46" s="22"/>
      <c r="I46" s="26">
        <v>4714.88</v>
      </c>
      <c r="J46" s="22">
        <v>5000</v>
      </c>
      <c r="K46" s="39">
        <v>6251.64</v>
      </c>
      <c r="L46" s="39">
        <v>3000</v>
      </c>
      <c r="M46" s="26">
        <f>+K46+L46</f>
        <v>9251.64</v>
      </c>
      <c r="N46" s="22">
        <v>20000</v>
      </c>
    </row>
    <row r="47" spans="1:15" ht="20.100000000000001" customHeight="1" outlineLevel="2" x14ac:dyDescent="0.2">
      <c r="A47" s="12" t="s">
        <v>34</v>
      </c>
      <c r="B47" s="12">
        <v>451500</v>
      </c>
      <c r="C47" s="12" t="s">
        <v>35</v>
      </c>
      <c r="D47" s="22"/>
      <c r="E47" s="26">
        <f>555</f>
        <v>555</v>
      </c>
      <c r="F47" s="22"/>
      <c r="G47" s="26">
        <f>7732.5</f>
        <v>7732.5</v>
      </c>
      <c r="H47" s="22"/>
      <c r="I47" s="26">
        <v>2910</v>
      </c>
      <c r="J47" s="22">
        <v>3500</v>
      </c>
      <c r="K47" s="39">
        <v>950</v>
      </c>
      <c r="L47" s="39">
        <v>0</v>
      </c>
      <c r="M47" s="26">
        <f>+K47+L47</f>
        <v>950</v>
      </c>
      <c r="N47" s="22">
        <v>1000</v>
      </c>
    </row>
    <row r="48" spans="1:15" s="6" customFormat="1" ht="20.100000000000001" customHeight="1" outlineLevel="1" x14ac:dyDescent="0.2">
      <c r="A48" s="1" t="s">
        <v>148</v>
      </c>
      <c r="B48" s="1"/>
      <c r="C48" s="1"/>
      <c r="D48" s="21">
        <v>9000</v>
      </c>
      <c r="E48" s="25">
        <f>SUBTOTAL(9,E46:E47)</f>
        <v>11930.5</v>
      </c>
      <c r="F48" s="21">
        <v>9000</v>
      </c>
      <c r="G48" s="25">
        <f>SUBTOTAL(9,G46:G47)</f>
        <v>19890.14</v>
      </c>
      <c r="H48" s="21">
        <v>15000</v>
      </c>
      <c r="I48" s="25">
        <f t="shared" ref="I48:L48" si="8">SUBTOTAL(9,I46:I47)</f>
        <v>7624.88</v>
      </c>
      <c r="J48" s="21">
        <f t="shared" si="8"/>
        <v>8500</v>
      </c>
      <c r="K48" s="13">
        <f t="shared" si="8"/>
        <v>7201.64</v>
      </c>
      <c r="L48" s="13">
        <f t="shared" si="8"/>
        <v>3000</v>
      </c>
      <c r="M48" s="25">
        <f>+SUM(K48:L48)</f>
        <v>10201.64</v>
      </c>
      <c r="N48" s="21">
        <f>SUBTOTAL(9,N46:N47)</f>
        <v>21000</v>
      </c>
      <c r="O48" s="2"/>
    </row>
    <row r="49" spans="1:15" ht="20.100000000000001" customHeight="1" outlineLevel="2" x14ac:dyDescent="0.2">
      <c r="A49" s="12" t="s">
        <v>57</v>
      </c>
      <c r="B49" s="12">
        <v>431100</v>
      </c>
      <c r="C49" s="12" t="s">
        <v>303</v>
      </c>
      <c r="D49" s="22"/>
      <c r="E49" s="26"/>
      <c r="F49" s="22"/>
      <c r="G49" s="26"/>
      <c r="H49" s="22"/>
      <c r="I49" s="26">
        <v>110770.28</v>
      </c>
      <c r="J49" s="22"/>
      <c r="K49" s="39"/>
      <c r="L49" s="39"/>
      <c r="M49" s="26">
        <v>110770.28</v>
      </c>
      <c r="N49" s="22"/>
    </row>
    <row r="50" spans="1:15" ht="20.100000000000001" customHeight="1" outlineLevel="2" x14ac:dyDescent="0.2">
      <c r="A50" s="12" t="s">
        <v>57</v>
      </c>
      <c r="B50" s="12">
        <v>471000</v>
      </c>
      <c r="C50" s="12" t="s">
        <v>46</v>
      </c>
      <c r="D50" s="22"/>
      <c r="E50" s="26">
        <f>1233.42</f>
        <v>1233.42</v>
      </c>
      <c r="F50" s="22"/>
      <c r="G50" s="26">
        <f>70.91</f>
        <v>70.91</v>
      </c>
      <c r="H50" s="22"/>
      <c r="I50" s="26">
        <v>114.61</v>
      </c>
      <c r="J50" s="22">
        <v>0</v>
      </c>
      <c r="K50" s="39">
        <v>1210.55</v>
      </c>
      <c r="L50" s="39">
        <f>+K50/11</f>
        <v>110.05</v>
      </c>
      <c r="M50" s="26">
        <f>+K50+L50</f>
        <v>1320.6</v>
      </c>
      <c r="N50" s="22">
        <v>2000</v>
      </c>
    </row>
    <row r="51" spans="1:15" ht="20.100000000000001" customHeight="1" outlineLevel="2" x14ac:dyDescent="0.2">
      <c r="A51" s="12" t="s">
        <v>57</v>
      </c>
      <c r="B51" s="12">
        <v>481200</v>
      </c>
      <c r="C51" s="12" t="s">
        <v>300</v>
      </c>
      <c r="D51" s="22"/>
      <c r="E51" s="26">
        <v>0</v>
      </c>
      <c r="F51" s="22"/>
      <c r="G51" s="26">
        <v>0</v>
      </c>
      <c r="H51" s="22"/>
      <c r="I51" s="26">
        <v>0</v>
      </c>
      <c r="J51" s="22">
        <v>0</v>
      </c>
      <c r="K51" s="39">
        <f>127314.65+195560</f>
        <v>322874.65000000002</v>
      </c>
      <c r="L51" s="39"/>
      <c r="M51" s="26">
        <f>+K51+L51-110770.28</f>
        <v>212104.37000000002</v>
      </c>
      <c r="N51" s="22"/>
    </row>
    <row r="52" spans="1:15" ht="20.100000000000001" customHeight="1" outlineLevel="2" x14ac:dyDescent="0.2">
      <c r="A52" s="12" t="s">
        <v>57</v>
      </c>
      <c r="B52" s="12">
        <v>481910</v>
      </c>
      <c r="C52" s="12" t="s">
        <v>301</v>
      </c>
      <c r="D52" s="22"/>
      <c r="E52" s="26">
        <f>50</f>
        <v>50</v>
      </c>
      <c r="F52" s="22"/>
      <c r="G52" s="26">
        <v>0</v>
      </c>
      <c r="H52" s="22"/>
      <c r="I52" s="26">
        <v>0</v>
      </c>
      <c r="J52" s="22">
        <v>0</v>
      </c>
      <c r="K52" s="39">
        <f>16850+11000+50</f>
        <v>27900</v>
      </c>
      <c r="L52" s="39"/>
      <c r="M52" s="26">
        <f t="shared" ref="M52:M59" si="9">+K52+L52</f>
        <v>27900</v>
      </c>
      <c r="N52" s="22"/>
    </row>
    <row r="53" spans="1:15" ht="20.100000000000001" customHeight="1" outlineLevel="2" x14ac:dyDescent="0.2">
      <c r="A53" s="12" t="s">
        <v>57</v>
      </c>
      <c r="B53" s="12">
        <v>483900</v>
      </c>
      <c r="C53" s="12" t="s">
        <v>35</v>
      </c>
      <c r="D53" s="22"/>
      <c r="E53" s="26">
        <v>21464.19</v>
      </c>
      <c r="F53" s="22"/>
      <c r="G53" s="26">
        <f>4440</f>
        <v>4440</v>
      </c>
      <c r="H53" s="22"/>
      <c r="I53" s="26">
        <v>0</v>
      </c>
      <c r="J53" s="22">
        <v>100</v>
      </c>
      <c r="K53" s="39">
        <v>0</v>
      </c>
      <c r="L53" s="39"/>
      <c r="M53" s="26">
        <f t="shared" si="9"/>
        <v>0</v>
      </c>
      <c r="N53" s="22"/>
    </row>
    <row r="54" spans="1:15" ht="20.100000000000001" customHeight="1" outlineLevel="2" x14ac:dyDescent="0.2">
      <c r="A54" s="12" t="s">
        <v>57</v>
      </c>
      <c r="B54" s="12">
        <v>499994</v>
      </c>
      <c r="C54" s="12" t="s">
        <v>4</v>
      </c>
      <c r="D54" s="22"/>
      <c r="E54" s="26">
        <v>0</v>
      </c>
      <c r="F54" s="22"/>
      <c r="G54" s="26">
        <f>3741.72</f>
        <v>3741.72</v>
      </c>
      <c r="H54" s="22"/>
      <c r="I54" s="26">
        <v>0</v>
      </c>
      <c r="J54" s="22">
        <v>0</v>
      </c>
      <c r="K54" s="39"/>
      <c r="L54" s="39">
        <v>0</v>
      </c>
      <c r="M54" s="26">
        <f t="shared" si="9"/>
        <v>0</v>
      </c>
      <c r="N54" s="22">
        <v>0</v>
      </c>
    </row>
    <row r="55" spans="1:15" ht="20.100000000000001" customHeight="1" outlineLevel="2" x14ac:dyDescent="0.2">
      <c r="A55" s="12" t="s">
        <v>57</v>
      </c>
      <c r="B55" s="12">
        <v>499996</v>
      </c>
      <c r="C55" s="12" t="s">
        <v>58</v>
      </c>
      <c r="D55" s="22"/>
      <c r="E55" s="26">
        <f>200</f>
        <v>200</v>
      </c>
      <c r="F55" s="22"/>
      <c r="G55" s="26">
        <v>0</v>
      </c>
      <c r="H55" s="22"/>
      <c r="I55" s="26">
        <v>25</v>
      </c>
      <c r="J55" s="22">
        <v>0</v>
      </c>
      <c r="K55" s="39">
        <v>100</v>
      </c>
      <c r="L55" s="39">
        <v>0</v>
      </c>
      <c r="M55" s="26">
        <f t="shared" si="9"/>
        <v>100</v>
      </c>
      <c r="N55" s="22">
        <v>0</v>
      </c>
    </row>
    <row r="56" spans="1:15" ht="20.100000000000001" customHeight="1" outlineLevel="2" x14ac:dyDescent="0.2">
      <c r="A56" s="12" t="s">
        <v>57</v>
      </c>
      <c r="B56" s="12">
        <v>499997</v>
      </c>
      <c r="C56" s="12" t="s">
        <v>59</v>
      </c>
      <c r="D56" s="22"/>
      <c r="E56" s="26">
        <f>1687.83</f>
        <v>1687.83</v>
      </c>
      <c r="F56" s="22"/>
      <c r="G56" s="26">
        <v>0</v>
      </c>
      <c r="H56" s="22"/>
      <c r="I56" s="26">
        <v>713.57</v>
      </c>
      <c r="J56" s="22">
        <v>0</v>
      </c>
      <c r="K56" s="39"/>
      <c r="L56" s="39">
        <v>0</v>
      </c>
      <c r="M56" s="26">
        <f t="shared" si="9"/>
        <v>0</v>
      </c>
      <c r="N56" s="22">
        <v>0</v>
      </c>
    </row>
    <row r="57" spans="1:15" ht="20.100000000000001" customHeight="1" outlineLevel="2" x14ac:dyDescent="0.2">
      <c r="A57" s="12" t="s">
        <v>57</v>
      </c>
      <c r="B57" s="12">
        <v>499998</v>
      </c>
      <c r="C57" s="12" t="s">
        <v>60</v>
      </c>
      <c r="D57" s="22"/>
      <c r="E57" s="26">
        <f>2970</f>
        <v>2970</v>
      </c>
      <c r="F57" s="22"/>
      <c r="G57" s="26">
        <f>6121.25</f>
        <v>6121.25</v>
      </c>
      <c r="H57" s="22"/>
      <c r="I57" s="26">
        <v>942.28</v>
      </c>
      <c r="J57" s="22">
        <v>0</v>
      </c>
      <c r="K57" s="39">
        <v>5602.2</v>
      </c>
      <c r="L57" s="39">
        <v>0</v>
      </c>
      <c r="M57" s="26">
        <f t="shared" si="9"/>
        <v>5602.2</v>
      </c>
      <c r="N57" s="22">
        <v>50</v>
      </c>
    </row>
    <row r="58" spans="1:15" ht="20.100000000000001" customHeight="1" outlineLevel="2" x14ac:dyDescent="0.2">
      <c r="A58" s="12" t="s">
        <v>57</v>
      </c>
      <c r="B58" s="12">
        <v>500001</v>
      </c>
      <c r="C58" s="12" t="s">
        <v>5</v>
      </c>
      <c r="D58" s="22"/>
      <c r="E58" s="26">
        <v>-5</v>
      </c>
      <c r="F58" s="22"/>
      <c r="G58" s="26">
        <f>1.55</f>
        <v>1.55</v>
      </c>
      <c r="H58" s="22"/>
      <c r="I58" s="26">
        <v>0</v>
      </c>
      <c r="J58" s="22">
        <v>0</v>
      </c>
      <c r="K58" s="39">
        <v>1.5</v>
      </c>
      <c r="L58" s="39">
        <v>0</v>
      </c>
      <c r="M58" s="26">
        <f t="shared" si="9"/>
        <v>1.5</v>
      </c>
      <c r="N58" s="22">
        <v>0</v>
      </c>
    </row>
    <row r="59" spans="1:15" ht="20.100000000000001" customHeight="1" outlineLevel="2" x14ac:dyDescent="0.2">
      <c r="A59" s="12" t="s">
        <v>57</v>
      </c>
      <c r="B59" s="12">
        <v>521000</v>
      </c>
      <c r="C59" s="12" t="s">
        <v>255</v>
      </c>
      <c r="D59" s="22"/>
      <c r="E59" s="26">
        <v>0</v>
      </c>
      <c r="F59" s="22"/>
      <c r="G59" s="26">
        <v>0</v>
      </c>
      <c r="H59" s="22"/>
      <c r="I59" s="26">
        <v>0</v>
      </c>
      <c r="J59" s="22">
        <v>0</v>
      </c>
      <c r="K59" s="39">
        <v>5275</v>
      </c>
      <c r="L59" s="39">
        <v>0</v>
      </c>
      <c r="M59" s="26">
        <f t="shared" si="9"/>
        <v>5275</v>
      </c>
      <c r="N59" s="22">
        <v>0</v>
      </c>
    </row>
    <row r="60" spans="1:15" s="6" customFormat="1" ht="20.100000000000001" customHeight="1" outlineLevel="1" thickBot="1" x14ac:dyDescent="0.25">
      <c r="A60" s="1" t="s">
        <v>149</v>
      </c>
      <c r="B60" s="1"/>
      <c r="C60" s="1"/>
      <c r="D60" s="29">
        <v>100</v>
      </c>
      <c r="E60" s="30">
        <f>SUBTOTAL(9,E49:E59)</f>
        <v>27600.440000000002</v>
      </c>
      <c r="F60" s="29">
        <v>100</v>
      </c>
      <c r="G60" s="30">
        <f>SUBTOTAL(9,G49:G59)</f>
        <v>14375.429999999998</v>
      </c>
      <c r="H60" s="29">
        <v>2500</v>
      </c>
      <c r="I60" s="30">
        <f t="shared" ref="I60:L60" si="10">SUBTOTAL(9,I49:I59)</f>
        <v>112565.74</v>
      </c>
      <c r="J60" s="29">
        <f t="shared" si="10"/>
        <v>100</v>
      </c>
      <c r="K60" s="40">
        <f t="shared" si="10"/>
        <v>362963.9</v>
      </c>
      <c r="L60" s="40">
        <f t="shared" si="10"/>
        <v>110.05</v>
      </c>
      <c r="M60" s="59">
        <f t="shared" ref="M60" si="11">+K60+L60</f>
        <v>363073.95</v>
      </c>
      <c r="N60" s="29">
        <f>SUBTOTAL(9,N49:N59)</f>
        <v>2050</v>
      </c>
    </row>
    <row r="61" spans="1:15" s="6" customFormat="1" ht="20.100000000000001" customHeight="1" x14ac:dyDescent="0.2">
      <c r="A61" s="1" t="s">
        <v>1</v>
      </c>
      <c r="B61" s="1"/>
      <c r="C61" s="1"/>
      <c r="D61" s="21">
        <f t="shared" ref="D61:L61" si="12">SUBTOTAL(9,D8:D60)</f>
        <v>757300</v>
      </c>
      <c r="E61" s="25">
        <f t="shared" si="12"/>
        <v>771366.22999999986</v>
      </c>
      <c r="F61" s="21">
        <f t="shared" si="12"/>
        <v>757300</v>
      </c>
      <c r="G61" s="25">
        <f t="shared" si="12"/>
        <v>879723.10000000021</v>
      </c>
      <c r="H61" s="21">
        <f t="shared" si="12"/>
        <v>820500</v>
      </c>
      <c r="I61" s="25">
        <f t="shared" si="12"/>
        <v>1441479.8000000003</v>
      </c>
      <c r="J61" s="21">
        <f t="shared" si="12"/>
        <v>918784</v>
      </c>
      <c r="K61" s="13">
        <f t="shared" si="12"/>
        <v>1283569.0000000002</v>
      </c>
      <c r="L61" s="13">
        <f t="shared" si="12"/>
        <v>97303.69</v>
      </c>
      <c r="M61" s="25">
        <f>+SUM(K61:L61)</f>
        <v>1380872.6900000002</v>
      </c>
      <c r="N61" s="21">
        <f>SUBTOTAL(9,N8:N60)</f>
        <v>1180895</v>
      </c>
      <c r="O61" s="44">
        <f>+N61/J61</f>
        <v>1.2852803270409585</v>
      </c>
    </row>
    <row r="62" spans="1:15" ht="20.100000000000001" customHeight="1" x14ac:dyDescent="0.2">
      <c r="A62" s="12"/>
      <c r="B62" s="12"/>
      <c r="C62" s="12"/>
      <c r="D62" s="22"/>
      <c r="E62" s="26"/>
      <c r="F62" s="22"/>
      <c r="G62" s="26"/>
      <c r="H62" s="22"/>
      <c r="I62" s="26"/>
      <c r="J62" s="22"/>
      <c r="K62" s="39"/>
      <c r="L62" s="39"/>
      <c r="M62" s="26"/>
      <c r="N62" s="22"/>
    </row>
    <row r="63" spans="1:15" s="6" customFormat="1" ht="20.100000000000001" customHeight="1" x14ac:dyDescent="0.2">
      <c r="A63" s="1" t="s">
        <v>178</v>
      </c>
      <c r="B63" s="1"/>
      <c r="C63" s="1"/>
      <c r="D63" s="21"/>
      <c r="E63" s="25"/>
      <c r="F63" s="21"/>
      <c r="G63" s="25"/>
      <c r="H63" s="21"/>
      <c r="I63" s="25"/>
      <c r="J63" s="21"/>
      <c r="K63" s="13"/>
      <c r="L63" s="13"/>
      <c r="M63" s="25"/>
      <c r="N63" s="21"/>
    </row>
    <row r="64" spans="1:15" ht="20.100000000000001" customHeight="1" outlineLevel="2" x14ac:dyDescent="0.2">
      <c r="A64" s="12" t="s">
        <v>70</v>
      </c>
      <c r="B64" s="12">
        <v>610100</v>
      </c>
      <c r="C64" s="12" t="s">
        <v>71</v>
      </c>
      <c r="D64" s="22"/>
      <c r="E64" s="26">
        <f>297949.43</f>
        <v>297949.43</v>
      </c>
      <c r="F64" s="22"/>
      <c r="G64" s="26">
        <f>324470.37</f>
        <v>324470.37</v>
      </c>
      <c r="H64" s="22"/>
      <c r="I64" s="26">
        <v>321882</v>
      </c>
      <c r="J64" s="22">
        <v>349732</v>
      </c>
      <c r="K64" s="39">
        <f>335023.86+5950</f>
        <v>340973.86</v>
      </c>
      <c r="L64" s="39">
        <f>15200*2+1700</f>
        <v>32100</v>
      </c>
      <c r="M64" s="26">
        <f t="shared" ref="M64:M78" si="13">+SUM(K64:L64)</f>
        <v>373073.86</v>
      </c>
      <c r="N64" s="22">
        <f>+Payroll!G38</f>
        <v>436993</v>
      </c>
      <c r="O64" s="2" t="s">
        <v>229</v>
      </c>
    </row>
    <row r="65" spans="1:15" ht="20.100000000000001" customHeight="1" outlineLevel="2" x14ac:dyDescent="0.2">
      <c r="A65" s="12" t="s">
        <v>70</v>
      </c>
      <c r="B65" s="12">
        <v>615100</v>
      </c>
      <c r="C65" s="12" t="s">
        <v>72</v>
      </c>
      <c r="D65" s="22"/>
      <c r="E65" s="26">
        <f>22120.33</f>
        <v>22120.33</v>
      </c>
      <c r="F65" s="22"/>
      <c r="G65" s="26">
        <f>24365.5</f>
        <v>24365.5</v>
      </c>
      <c r="H65" s="22"/>
      <c r="I65" s="26">
        <v>24252.15</v>
      </c>
      <c r="J65" s="22">
        <v>26760</v>
      </c>
      <c r="K65" s="39">
        <v>25601.81</v>
      </c>
      <c r="L65" s="39">
        <f>1200*2+130</f>
        <v>2530</v>
      </c>
      <c r="M65" s="26">
        <f t="shared" si="13"/>
        <v>28131.81</v>
      </c>
      <c r="N65" s="22">
        <f>+Payroll!H38</f>
        <v>33437</v>
      </c>
      <c r="O65" s="2" t="s">
        <v>230</v>
      </c>
    </row>
    <row r="66" spans="1:15" ht="20.100000000000001" customHeight="1" outlineLevel="2" x14ac:dyDescent="0.2">
      <c r="A66" s="12" t="s">
        <v>70</v>
      </c>
      <c r="B66" s="12">
        <v>615300</v>
      </c>
      <c r="C66" s="12" t="s">
        <v>73</v>
      </c>
      <c r="D66" s="22"/>
      <c r="E66" s="26">
        <f>56645.17</f>
        <v>56645.17</v>
      </c>
      <c r="F66" s="22"/>
      <c r="G66" s="26">
        <f>61807.66</f>
        <v>61807.66</v>
      </c>
      <c r="H66" s="22"/>
      <c r="I66" s="26">
        <v>65543.570000000007</v>
      </c>
      <c r="J66" s="22">
        <v>65567</v>
      </c>
      <c r="K66" s="39">
        <v>75252.53</v>
      </c>
      <c r="L66" s="39">
        <f>3500*2+140</f>
        <v>7140</v>
      </c>
      <c r="M66" s="26">
        <f t="shared" si="13"/>
        <v>82392.53</v>
      </c>
      <c r="N66" s="22">
        <f>+Payroll!I38</f>
        <v>100448</v>
      </c>
      <c r="O66" s="2" t="s">
        <v>230</v>
      </c>
    </row>
    <row r="67" spans="1:15" ht="20.100000000000001" customHeight="1" outlineLevel="2" x14ac:dyDescent="0.2">
      <c r="A67" s="12" t="s">
        <v>70</v>
      </c>
      <c r="B67" s="12">
        <v>615301</v>
      </c>
      <c r="C67" s="12" t="s">
        <v>21</v>
      </c>
      <c r="D67" s="22"/>
      <c r="E67" s="26">
        <v>0</v>
      </c>
      <c r="F67" s="22"/>
      <c r="G67" s="26"/>
      <c r="H67" s="22"/>
      <c r="I67" s="26">
        <v>82488</v>
      </c>
      <c r="J67" s="22">
        <v>0</v>
      </c>
      <c r="K67" s="39">
        <v>0</v>
      </c>
      <c r="L67" s="39">
        <v>0</v>
      </c>
      <c r="M67" s="26">
        <f t="shared" si="13"/>
        <v>0</v>
      </c>
      <c r="N67" s="22"/>
      <c r="O67" s="2" t="s">
        <v>271</v>
      </c>
    </row>
    <row r="68" spans="1:15" ht="20.100000000000001" customHeight="1" outlineLevel="2" x14ac:dyDescent="0.2">
      <c r="A68" s="12" t="s">
        <v>70</v>
      </c>
      <c r="B68" s="12">
        <v>615400</v>
      </c>
      <c r="C68" s="12" t="s">
        <v>74</v>
      </c>
      <c r="D68" s="22"/>
      <c r="E68" s="26">
        <f>296.25</f>
        <v>296.25</v>
      </c>
      <c r="F68" s="22"/>
      <c r="G68" s="26">
        <f>649.56</f>
        <v>649.55999999999995</v>
      </c>
      <c r="H68" s="22"/>
      <c r="I68" s="26">
        <v>-1049.99</v>
      </c>
      <c r="J68" s="22">
        <v>2240</v>
      </c>
      <c r="K68" s="39">
        <v>3040.08</v>
      </c>
      <c r="L68" s="39">
        <v>150</v>
      </c>
      <c r="M68" s="26">
        <f t="shared" si="13"/>
        <v>3190.08</v>
      </c>
      <c r="N68" s="22">
        <f>+Payroll!J38</f>
        <v>2800</v>
      </c>
      <c r="O68" s="2" t="s">
        <v>230</v>
      </c>
    </row>
    <row r="69" spans="1:15" ht="20.100000000000001" customHeight="1" outlineLevel="2" x14ac:dyDescent="0.2">
      <c r="A69" s="12" t="s">
        <v>70</v>
      </c>
      <c r="B69" s="12">
        <v>615500</v>
      </c>
      <c r="C69" s="12" t="s">
        <v>75</v>
      </c>
      <c r="D69" s="22"/>
      <c r="E69" s="26">
        <f>40547.11-5693.37</f>
        <v>34853.74</v>
      </c>
      <c r="F69" s="22"/>
      <c r="G69" s="26">
        <f>36159.84-1000.3</f>
        <v>35159.539999999994</v>
      </c>
      <c r="H69" s="22"/>
      <c r="I69" s="26">
        <v>36599.370000000003</v>
      </c>
      <c r="J69" s="22">
        <v>43618</v>
      </c>
      <c r="K69" s="39">
        <v>46291</v>
      </c>
      <c r="L69" s="39">
        <f>2761*3+16.5</f>
        <v>8299.5</v>
      </c>
      <c r="M69" s="26">
        <f t="shared" si="13"/>
        <v>54590.5</v>
      </c>
      <c r="N69" s="22">
        <f>+Payroll!K38</f>
        <v>63153</v>
      </c>
      <c r="O69" s="2" t="s">
        <v>230</v>
      </c>
    </row>
    <row r="70" spans="1:15" s="6" customFormat="1" ht="20.100000000000001" customHeight="1" outlineLevel="1" x14ac:dyDescent="0.2">
      <c r="A70" s="1" t="s">
        <v>151</v>
      </c>
      <c r="B70" s="1"/>
      <c r="C70" s="1"/>
      <c r="D70" s="21">
        <v>374380</v>
      </c>
      <c r="E70" s="25">
        <f>SUBTOTAL(9,E64:E69)</f>
        <v>411864.92</v>
      </c>
      <c r="F70" s="21">
        <v>374380</v>
      </c>
      <c r="G70" s="25">
        <f>SUBTOTAL(9,G64:G69)</f>
        <v>446452.63</v>
      </c>
      <c r="H70" s="21">
        <v>449218</v>
      </c>
      <c r="I70" s="25">
        <f>SUBTOTAL(9,I64:I69)</f>
        <v>529715.10000000009</v>
      </c>
      <c r="J70" s="21">
        <f>SUBTOTAL(9,J64:J69)</f>
        <v>487917</v>
      </c>
      <c r="K70" s="13">
        <f>SUBTOTAL(9,K64:K69)</f>
        <v>491159.27999999997</v>
      </c>
      <c r="L70" s="13">
        <f>SUBTOTAL(9,L64:L69)</f>
        <v>50219.5</v>
      </c>
      <c r="M70" s="25">
        <f t="shared" si="13"/>
        <v>541378.78</v>
      </c>
      <c r="N70" s="21">
        <f>SUBTOTAL(9,N64:N69)</f>
        <v>636831</v>
      </c>
    </row>
    <row r="71" spans="1:15" ht="20.100000000000001" customHeight="1" outlineLevel="2" x14ac:dyDescent="0.2">
      <c r="A71" s="12" t="s">
        <v>76</v>
      </c>
      <c r="B71" s="12">
        <v>621100</v>
      </c>
      <c r="C71" s="12" t="s">
        <v>77</v>
      </c>
      <c r="D71" s="22"/>
      <c r="E71" s="26">
        <f>9762</f>
        <v>9762</v>
      </c>
      <c r="F71" s="22"/>
      <c r="G71" s="26">
        <f>3290.15</f>
        <v>3290.15</v>
      </c>
      <c r="H71" s="22"/>
      <c r="I71" s="26">
        <v>4024.53</v>
      </c>
      <c r="J71" s="22">
        <v>3672</v>
      </c>
      <c r="K71" s="57">
        <v>8171.7</v>
      </c>
      <c r="L71" s="39">
        <f>+K71/11</f>
        <v>742.88181818181818</v>
      </c>
      <c r="M71" s="26">
        <f t="shared" si="13"/>
        <v>8914.5818181818177</v>
      </c>
      <c r="N71" s="22">
        <v>5000</v>
      </c>
    </row>
    <row r="72" spans="1:15" ht="20.100000000000001" customHeight="1" outlineLevel="2" x14ac:dyDescent="0.2">
      <c r="A72" s="12" t="s">
        <v>76</v>
      </c>
      <c r="B72" s="12">
        <v>621200</v>
      </c>
      <c r="C72" s="12" t="s">
        <v>78</v>
      </c>
      <c r="D72" s="22"/>
      <c r="E72" s="26">
        <f>8537.98</f>
        <v>8537.98</v>
      </c>
      <c r="F72" s="22"/>
      <c r="G72" s="26">
        <f>2879.81</f>
        <v>2879.81</v>
      </c>
      <c r="H72" s="22"/>
      <c r="I72" s="26">
        <v>2723.71</v>
      </c>
      <c r="J72" s="22">
        <v>2000</v>
      </c>
      <c r="K72" s="57">
        <v>2031.91</v>
      </c>
      <c r="L72" s="39">
        <f>+K72/11</f>
        <v>184.71909090909091</v>
      </c>
      <c r="M72" s="26">
        <f t="shared" si="13"/>
        <v>2216.6290909090908</v>
      </c>
      <c r="N72" s="22">
        <v>2000</v>
      </c>
    </row>
    <row r="73" spans="1:15" ht="20.100000000000001" customHeight="1" outlineLevel="2" x14ac:dyDescent="0.2">
      <c r="A73" s="12" t="s">
        <v>76</v>
      </c>
      <c r="B73" s="12">
        <v>621300</v>
      </c>
      <c r="C73" s="12" t="s">
        <v>79</v>
      </c>
      <c r="D73" s="22"/>
      <c r="E73" s="26">
        <f>321.84</f>
        <v>321.83999999999997</v>
      </c>
      <c r="F73" s="22"/>
      <c r="G73" s="26"/>
      <c r="H73" s="22"/>
      <c r="I73" s="26">
        <v>68.03</v>
      </c>
      <c r="J73" s="22">
        <v>0</v>
      </c>
      <c r="K73" s="57">
        <v>2088.4499999999998</v>
      </c>
      <c r="L73" s="39">
        <v>100</v>
      </c>
      <c r="M73" s="26">
        <f t="shared" si="13"/>
        <v>2188.4499999999998</v>
      </c>
      <c r="N73" s="22">
        <v>2000</v>
      </c>
    </row>
    <row r="74" spans="1:15" ht="20.100000000000001" customHeight="1" outlineLevel="2" x14ac:dyDescent="0.2">
      <c r="A74" s="12" t="s">
        <v>76</v>
      </c>
      <c r="B74" s="12">
        <v>621400</v>
      </c>
      <c r="C74" s="12" t="s">
        <v>80</v>
      </c>
      <c r="D74" s="22"/>
      <c r="E74" s="26">
        <f>13122.51</f>
        <v>13122.51</v>
      </c>
      <c r="F74" s="22"/>
      <c r="G74" s="26">
        <f>13634.25</f>
        <v>13634.25</v>
      </c>
      <c r="H74" s="22"/>
      <c r="I74" s="26">
        <v>14430.52</v>
      </c>
      <c r="J74" s="22">
        <v>18260</v>
      </c>
      <c r="K74" s="57">
        <v>16522.23</v>
      </c>
      <c r="L74" s="39">
        <f>1800+1800</f>
        <v>3600</v>
      </c>
      <c r="M74" s="26">
        <f t="shared" si="13"/>
        <v>20122.23</v>
      </c>
      <c r="N74" s="22">
        <v>22000</v>
      </c>
    </row>
    <row r="75" spans="1:15" ht="20.100000000000001" customHeight="1" outlineLevel="2" x14ac:dyDescent="0.2">
      <c r="A75" s="12" t="s">
        <v>76</v>
      </c>
      <c r="B75" s="12">
        <v>621500</v>
      </c>
      <c r="C75" s="12" t="s">
        <v>81</v>
      </c>
      <c r="D75" s="22"/>
      <c r="E75" s="26">
        <f>800.1</f>
        <v>800.1</v>
      </c>
      <c r="F75" s="22"/>
      <c r="G75" s="26">
        <f>729.15</f>
        <v>729.15</v>
      </c>
      <c r="H75" s="22"/>
      <c r="I75" s="26">
        <v>929.94</v>
      </c>
      <c r="J75" s="22">
        <v>1000</v>
      </c>
      <c r="K75" s="57">
        <v>736.6</v>
      </c>
      <c r="L75" s="39">
        <v>0</v>
      </c>
      <c r="M75" s="26">
        <f t="shared" si="13"/>
        <v>736.6</v>
      </c>
      <c r="N75" s="22">
        <v>1000</v>
      </c>
    </row>
    <row r="76" spans="1:15" s="6" customFormat="1" ht="20.100000000000001" customHeight="1" outlineLevel="1" x14ac:dyDescent="0.2">
      <c r="A76" s="1" t="s">
        <v>152</v>
      </c>
      <c r="B76" s="1"/>
      <c r="C76" s="1"/>
      <c r="D76" s="21">
        <v>19200</v>
      </c>
      <c r="E76" s="25">
        <f>SUBTOTAL(9,E71:E75)</f>
        <v>32544.43</v>
      </c>
      <c r="F76" s="21">
        <v>19200</v>
      </c>
      <c r="G76" s="25">
        <f>SUBTOTAL(9,G71:G75)</f>
        <v>20533.36</v>
      </c>
      <c r="H76" s="21">
        <v>21300</v>
      </c>
      <c r="I76" s="25">
        <f>SUBTOTAL(9,I71:I75)</f>
        <v>22176.73</v>
      </c>
      <c r="J76" s="21">
        <f>SUBTOTAL(9,J71:J75)</f>
        <v>24932</v>
      </c>
      <c r="K76" s="13">
        <f>SUBTOTAL(9,K71:K75)</f>
        <v>29550.89</v>
      </c>
      <c r="L76" s="13">
        <f>SUBTOTAL(9,L71:L75)</f>
        <v>4627.6009090909092</v>
      </c>
      <c r="M76" s="25">
        <f t="shared" si="13"/>
        <v>34178.490909090906</v>
      </c>
      <c r="N76" s="21">
        <f>SUBTOTAL(9,N71:N75)</f>
        <v>32000</v>
      </c>
    </row>
    <row r="77" spans="1:15" ht="20.100000000000001" customHeight="1" outlineLevel="2" x14ac:dyDescent="0.2">
      <c r="A77" s="12" t="s">
        <v>6</v>
      </c>
      <c r="B77" s="12">
        <v>622100</v>
      </c>
      <c r="C77" s="12"/>
      <c r="D77" s="22"/>
      <c r="E77" s="26">
        <f>1891.08</f>
        <v>1891.08</v>
      </c>
      <c r="F77" s="22"/>
      <c r="G77" s="26">
        <f>669.04</f>
        <v>669.04</v>
      </c>
      <c r="H77" s="22"/>
      <c r="I77" s="26">
        <v>1554.595</v>
      </c>
      <c r="J77" s="22">
        <v>1000</v>
      </c>
      <c r="K77" s="57">
        <v>1636.2</v>
      </c>
      <c r="L77" s="39">
        <v>150</v>
      </c>
      <c r="M77" s="26">
        <f t="shared" si="13"/>
        <v>1786.2</v>
      </c>
      <c r="N77" s="22">
        <v>1800</v>
      </c>
    </row>
    <row r="78" spans="1:15" s="6" customFormat="1" ht="20.100000000000001" customHeight="1" outlineLevel="1" x14ac:dyDescent="0.2">
      <c r="A78" s="1" t="s">
        <v>153</v>
      </c>
      <c r="B78" s="1"/>
      <c r="C78" s="1"/>
      <c r="D78" s="21">
        <v>1500</v>
      </c>
      <c r="E78" s="25">
        <f>SUBTOTAL(9,E77:E77)</f>
        <v>1891.08</v>
      </c>
      <c r="F78" s="21">
        <v>1500</v>
      </c>
      <c r="G78" s="25">
        <f>SUBTOTAL(9,G77:G77)</f>
        <v>669.04</v>
      </c>
      <c r="H78" s="21">
        <v>1500</v>
      </c>
      <c r="I78" s="25">
        <f>SUBTOTAL(9,I77:I77)</f>
        <v>1554.595</v>
      </c>
      <c r="J78" s="21">
        <f>SUBTOTAL(9,J77:J77)</f>
        <v>1000</v>
      </c>
      <c r="K78" s="13">
        <f>SUBTOTAL(9,K77:K77)</f>
        <v>1636.2</v>
      </c>
      <c r="L78" s="13">
        <f>SUBTOTAL(9,L77:L77)</f>
        <v>150</v>
      </c>
      <c r="M78" s="25">
        <f t="shared" si="13"/>
        <v>1786.2</v>
      </c>
      <c r="N78" s="21">
        <f>SUBTOTAL(9,N77:N77)</f>
        <v>1800</v>
      </c>
    </row>
    <row r="79" spans="1:15" ht="20.100000000000001" customHeight="1" outlineLevel="2" x14ac:dyDescent="0.2">
      <c r="A79" s="12" t="s">
        <v>82</v>
      </c>
      <c r="B79" s="12">
        <v>631130</v>
      </c>
      <c r="C79" s="12" t="s">
        <v>83</v>
      </c>
      <c r="D79" s="22"/>
      <c r="E79" s="26">
        <f>15</f>
        <v>15</v>
      </c>
      <c r="F79" s="22"/>
      <c r="G79" s="26"/>
      <c r="H79" s="22">
        <v>63.42</v>
      </c>
      <c r="I79" s="26">
        <v>0</v>
      </c>
      <c r="J79" s="22">
        <v>0</v>
      </c>
      <c r="L79" s="39">
        <v>0</v>
      </c>
      <c r="M79" s="26">
        <f t="shared" ref="M79:M83" si="14">+SUM(K79:L79)</f>
        <v>0</v>
      </c>
      <c r="N79" s="22"/>
    </row>
    <row r="80" spans="1:15" ht="20.100000000000001" customHeight="1" outlineLevel="2" x14ac:dyDescent="0.2">
      <c r="A80" s="12" t="s">
        <v>82</v>
      </c>
      <c r="B80" s="12">
        <v>631140</v>
      </c>
      <c r="C80" s="12" t="s">
        <v>84</v>
      </c>
      <c r="D80" s="22"/>
      <c r="E80" s="26">
        <f>8461.09</f>
        <v>8461.09</v>
      </c>
      <c r="F80" s="22"/>
      <c r="G80" s="26">
        <f>5273.88</f>
        <v>5273.88</v>
      </c>
      <c r="H80" s="22"/>
      <c r="I80" s="26">
        <v>6679.05</v>
      </c>
      <c r="J80" s="22">
        <v>7000</v>
      </c>
      <c r="K80" s="57">
        <v>8928.7000000000007</v>
      </c>
      <c r="L80" s="39">
        <f>90*4</f>
        <v>360</v>
      </c>
      <c r="M80" s="26">
        <f t="shared" si="14"/>
        <v>9288.7000000000007</v>
      </c>
      <c r="N80" s="22">
        <v>10000</v>
      </c>
    </row>
    <row r="81" spans="1:14" ht="20.100000000000001" customHeight="1" outlineLevel="2" x14ac:dyDescent="0.2">
      <c r="A81" s="12" t="s">
        <v>82</v>
      </c>
      <c r="B81" s="12">
        <v>631150</v>
      </c>
      <c r="C81" s="12" t="s">
        <v>85</v>
      </c>
      <c r="D81" s="22"/>
      <c r="E81" s="26">
        <f>751.85</f>
        <v>751.85</v>
      </c>
      <c r="F81" s="22"/>
      <c r="G81" s="26"/>
      <c r="H81" s="22"/>
      <c r="I81" s="26">
        <v>271.04000000000002</v>
      </c>
      <c r="J81" s="22">
        <v>550</v>
      </c>
      <c r="K81" s="57">
        <v>0</v>
      </c>
      <c r="L81" s="39">
        <v>0</v>
      </c>
      <c r="M81" s="26">
        <f t="shared" si="14"/>
        <v>0</v>
      </c>
      <c r="N81" s="22"/>
    </row>
    <row r="82" spans="1:14" ht="20.100000000000001" customHeight="1" outlineLevel="2" x14ac:dyDescent="0.2">
      <c r="A82" s="12" t="s">
        <v>82</v>
      </c>
      <c r="B82" s="12">
        <v>631160</v>
      </c>
      <c r="C82" s="12" t="s">
        <v>181</v>
      </c>
      <c r="D82" s="22"/>
      <c r="E82" s="26"/>
      <c r="F82" s="22"/>
      <c r="G82" s="26"/>
      <c r="H82" s="22"/>
      <c r="I82" s="26">
        <v>26.56</v>
      </c>
      <c r="J82" s="22">
        <v>0</v>
      </c>
      <c r="K82" s="57">
        <v>0</v>
      </c>
      <c r="L82" s="39">
        <v>0</v>
      </c>
      <c r="M82" s="26">
        <f t="shared" si="14"/>
        <v>0</v>
      </c>
      <c r="N82" s="22"/>
    </row>
    <row r="83" spans="1:14" ht="20.100000000000001" customHeight="1" outlineLevel="2" x14ac:dyDescent="0.2">
      <c r="A83" s="2" t="s">
        <v>82</v>
      </c>
      <c r="B83" s="12">
        <v>631200</v>
      </c>
      <c r="C83" s="12" t="s">
        <v>139</v>
      </c>
      <c r="D83" s="22"/>
      <c r="E83" s="26">
        <f>733.63</f>
        <v>733.63</v>
      </c>
      <c r="F83" s="22"/>
      <c r="G83" s="26">
        <f>498.74</f>
        <v>498.74</v>
      </c>
      <c r="H83" s="22"/>
      <c r="I83" s="26">
        <v>647.29999999999995</v>
      </c>
      <c r="J83" s="22">
        <v>800</v>
      </c>
      <c r="K83" s="57">
        <v>963.51</v>
      </c>
      <c r="L83" s="39">
        <f>25*4</f>
        <v>100</v>
      </c>
      <c r="M83" s="26">
        <f t="shared" si="14"/>
        <v>1063.51</v>
      </c>
      <c r="N83" s="22">
        <v>1000</v>
      </c>
    </row>
    <row r="84" spans="1:14" s="6" customFormat="1" ht="20.100000000000001" customHeight="1" outlineLevel="1" x14ac:dyDescent="0.2">
      <c r="A84" s="6" t="s">
        <v>154</v>
      </c>
      <c r="B84" s="1"/>
      <c r="C84" s="1"/>
      <c r="D84" s="21">
        <v>7900</v>
      </c>
      <c r="E84" s="25">
        <f>SUBTOTAL(9,E79:E83)</f>
        <v>9961.57</v>
      </c>
      <c r="F84" s="21">
        <v>7900</v>
      </c>
      <c r="G84" s="25">
        <f>SUBTOTAL(9,G79:G83)</f>
        <v>5772.62</v>
      </c>
      <c r="H84" s="21">
        <v>7900</v>
      </c>
      <c r="I84" s="25">
        <f>SUBTOTAL(9,I79:I83)</f>
        <v>7623.9500000000007</v>
      </c>
      <c r="J84" s="21">
        <f>SUBTOTAL(9,J79:J83)</f>
        <v>8350</v>
      </c>
      <c r="K84" s="13">
        <f>SUBTOTAL(9,K79:K83)</f>
        <v>9892.2100000000009</v>
      </c>
      <c r="L84" s="13">
        <f>SUBTOTAL(9,L79:L83)</f>
        <v>460</v>
      </c>
      <c r="M84" s="25">
        <f>+SUM(K84:L84)</f>
        <v>10352.210000000001</v>
      </c>
      <c r="N84" s="21">
        <f>SUBTOTAL(9,N79:N83)</f>
        <v>11000</v>
      </c>
    </row>
    <row r="85" spans="1:14" ht="20.100000000000001" customHeight="1" outlineLevel="2" x14ac:dyDescent="0.2">
      <c r="A85" s="12" t="s">
        <v>137</v>
      </c>
      <c r="B85" s="12">
        <v>631400</v>
      </c>
      <c r="C85" s="12" t="s">
        <v>8</v>
      </c>
      <c r="D85" s="22"/>
      <c r="E85" s="26">
        <f>900</f>
        <v>900</v>
      </c>
      <c r="F85" s="22"/>
      <c r="G85" s="26">
        <f>1300</f>
        <v>1300</v>
      </c>
      <c r="H85" s="22"/>
      <c r="I85" s="26">
        <v>373.5</v>
      </c>
      <c r="J85" s="22">
        <v>800</v>
      </c>
      <c r="K85" s="57">
        <v>1093.32</v>
      </c>
      <c r="L85" s="39">
        <v>0</v>
      </c>
      <c r="M85" s="26">
        <f t="shared" ref="M85:M86" si="15">+SUM(K85:L85)</f>
        <v>1093.32</v>
      </c>
      <c r="N85" s="22">
        <v>1100</v>
      </c>
    </row>
    <row r="86" spans="1:14" ht="20.100000000000001" customHeight="1" outlineLevel="2" x14ac:dyDescent="0.2">
      <c r="A86" s="12" t="s">
        <v>137</v>
      </c>
      <c r="B86" s="12">
        <v>631510</v>
      </c>
      <c r="C86" s="12" t="s">
        <v>9</v>
      </c>
      <c r="D86" s="22"/>
      <c r="E86" s="26">
        <f>5090.05</f>
        <v>5090.05</v>
      </c>
      <c r="F86" s="22"/>
      <c r="G86" s="26">
        <f>1089.26</f>
        <v>1089.26</v>
      </c>
      <c r="H86" s="22"/>
      <c r="I86" s="26">
        <v>4101.84</v>
      </c>
      <c r="J86" s="22">
        <v>2500</v>
      </c>
      <c r="K86" s="57">
        <v>5394.97</v>
      </c>
      <c r="L86" s="39">
        <v>2200</v>
      </c>
      <c r="M86" s="26">
        <f t="shared" si="15"/>
        <v>7594.97</v>
      </c>
      <c r="N86" s="22">
        <v>8000</v>
      </c>
    </row>
    <row r="87" spans="1:14" s="6" customFormat="1" ht="20.100000000000001" customHeight="1" outlineLevel="1" x14ac:dyDescent="0.2">
      <c r="A87" s="1" t="s">
        <v>155</v>
      </c>
      <c r="B87" s="1"/>
      <c r="C87" s="1"/>
      <c r="D87" s="21">
        <v>2300</v>
      </c>
      <c r="E87" s="25">
        <f>SUBTOTAL(9,E85:E86)</f>
        <v>5990.05</v>
      </c>
      <c r="F87" s="21">
        <v>2300</v>
      </c>
      <c r="G87" s="25">
        <f>SUBTOTAL(9,G85:G86)</f>
        <v>2389.2600000000002</v>
      </c>
      <c r="H87" s="21">
        <v>2300</v>
      </c>
      <c r="I87" s="25">
        <f>SUBTOTAL(9,I85:I86)</f>
        <v>4475.34</v>
      </c>
      <c r="J87" s="21">
        <f>SUBTOTAL(9,J85:J86)</f>
        <v>3300</v>
      </c>
      <c r="K87" s="13">
        <f>SUBTOTAL(9,K85:K86)</f>
        <v>6488.29</v>
      </c>
      <c r="L87" s="13">
        <f>SUBTOTAL(9,L85:L86)</f>
        <v>2200</v>
      </c>
      <c r="M87" s="25">
        <f>+SUM(K87:L87)</f>
        <v>8688.2900000000009</v>
      </c>
      <c r="N87" s="21">
        <f>SUBTOTAL(9,N85:N86)</f>
        <v>9100</v>
      </c>
    </row>
    <row r="88" spans="1:14" ht="20.100000000000001" customHeight="1" outlineLevel="2" x14ac:dyDescent="0.2">
      <c r="A88" s="12" t="s">
        <v>138</v>
      </c>
      <c r="B88" s="12">
        <v>632110</v>
      </c>
      <c r="C88" s="12" t="s">
        <v>86</v>
      </c>
      <c r="D88" s="22"/>
      <c r="E88" s="26">
        <f>3113.78</f>
        <v>3113.78</v>
      </c>
      <c r="F88" s="22"/>
      <c r="G88" s="26">
        <f>1626.22</f>
        <v>1626.22</v>
      </c>
      <c r="H88" s="22"/>
      <c r="I88" s="26">
        <v>1777.97</v>
      </c>
      <c r="J88" s="22">
        <v>2008</v>
      </c>
      <c r="K88" s="57">
        <v>1332.47</v>
      </c>
      <c r="L88" s="39">
        <f>+K88/10*2</f>
        <v>266.49400000000003</v>
      </c>
      <c r="M88" s="26">
        <f t="shared" ref="M88:M96" si="16">+SUM(K88:L88)</f>
        <v>1598.9639999999999</v>
      </c>
      <c r="N88" s="22">
        <v>1600</v>
      </c>
    </row>
    <row r="89" spans="1:14" ht="20.100000000000001" customHeight="1" outlineLevel="2" x14ac:dyDescent="0.2">
      <c r="A89" s="12" t="s">
        <v>138</v>
      </c>
      <c r="B89" s="12">
        <v>632140</v>
      </c>
      <c r="C89" s="12" t="s">
        <v>87</v>
      </c>
      <c r="D89" s="22"/>
      <c r="E89" s="26">
        <f>7324.41</f>
        <v>7324.41</v>
      </c>
      <c r="F89" s="22"/>
      <c r="G89" s="26">
        <f>9186.17</f>
        <v>9186.17</v>
      </c>
      <c r="H89" s="22"/>
      <c r="I89" s="26">
        <v>9675.5</v>
      </c>
      <c r="J89" s="22">
        <v>11436</v>
      </c>
      <c r="K89" s="57">
        <v>8111.38</v>
      </c>
      <c r="L89" s="39">
        <f>+K89/10*2</f>
        <v>1622.2760000000001</v>
      </c>
      <c r="M89" s="26">
        <f t="shared" si="16"/>
        <v>9733.6560000000009</v>
      </c>
      <c r="N89" s="22">
        <v>10000</v>
      </c>
    </row>
    <row r="90" spans="1:14" ht="20.100000000000001" customHeight="1" outlineLevel="2" x14ac:dyDescent="0.2">
      <c r="A90" s="12" t="s">
        <v>138</v>
      </c>
      <c r="B90" s="12">
        <v>632150</v>
      </c>
      <c r="C90" s="12" t="s">
        <v>88</v>
      </c>
      <c r="D90" s="22"/>
      <c r="E90" s="26">
        <f>432.37</f>
        <v>432.37</v>
      </c>
      <c r="F90" s="22"/>
      <c r="G90" s="26">
        <f>380.3</f>
        <v>380.3</v>
      </c>
      <c r="H90" s="22"/>
      <c r="I90" s="26">
        <v>373.67</v>
      </c>
      <c r="J90" s="22">
        <v>416</v>
      </c>
      <c r="K90" s="57">
        <v>329.2</v>
      </c>
      <c r="L90" s="39">
        <f>+K90/10*2</f>
        <v>65.84</v>
      </c>
      <c r="M90" s="26">
        <f t="shared" si="16"/>
        <v>395.03999999999996</v>
      </c>
      <c r="N90" s="22">
        <v>400</v>
      </c>
    </row>
    <row r="91" spans="1:14" ht="20.100000000000001" customHeight="1" outlineLevel="2" x14ac:dyDescent="0.2">
      <c r="A91" s="12" t="s">
        <v>138</v>
      </c>
      <c r="B91" s="12">
        <v>632170</v>
      </c>
      <c r="C91" s="12" t="s">
        <v>89</v>
      </c>
      <c r="D91" s="22"/>
      <c r="E91" s="26">
        <f>19605.95</f>
        <v>19605.95</v>
      </c>
      <c r="F91" s="22"/>
      <c r="G91" s="26">
        <f>20037.13</f>
        <v>20037.13</v>
      </c>
      <c r="H91" s="22"/>
      <c r="I91" s="26">
        <v>20002.439999999999</v>
      </c>
      <c r="J91" s="22">
        <v>23066</v>
      </c>
      <c r="K91" s="57">
        <v>16918.07</v>
      </c>
      <c r="L91" s="39">
        <f>+K91/10*2</f>
        <v>3383.614</v>
      </c>
      <c r="M91" s="26">
        <f t="shared" si="16"/>
        <v>20301.684000000001</v>
      </c>
      <c r="N91" s="22">
        <v>21000</v>
      </c>
    </row>
    <row r="92" spans="1:14" ht="20.100000000000001" customHeight="1" outlineLevel="2" x14ac:dyDescent="0.2">
      <c r="A92" s="12" t="s">
        <v>138</v>
      </c>
      <c r="B92" s="12">
        <v>632190</v>
      </c>
      <c r="C92" s="12" t="s">
        <v>90</v>
      </c>
      <c r="D92" s="22"/>
      <c r="E92" s="26">
        <f>206.82</f>
        <v>206.82</v>
      </c>
      <c r="F92" s="22"/>
      <c r="G92" s="26">
        <f>324.43</f>
        <v>324.43</v>
      </c>
      <c r="H92" s="22"/>
      <c r="I92" s="26">
        <v>342.52</v>
      </c>
      <c r="J92" s="22">
        <v>375</v>
      </c>
      <c r="K92" s="57">
        <f>460.1+1920</f>
        <v>2380.1</v>
      </c>
      <c r="L92" s="39">
        <f>+K92/10*2</f>
        <v>476.02</v>
      </c>
      <c r="M92" s="26">
        <f t="shared" si="16"/>
        <v>2856.12</v>
      </c>
      <c r="N92" s="22">
        <v>2900</v>
      </c>
    </row>
    <row r="93" spans="1:14" ht="20.100000000000001" customHeight="1" outlineLevel="2" x14ac:dyDescent="0.2">
      <c r="A93" s="12" t="s">
        <v>138</v>
      </c>
      <c r="B93" s="12">
        <v>632199</v>
      </c>
      <c r="C93" s="12" t="s">
        <v>91</v>
      </c>
      <c r="D93" s="22"/>
      <c r="E93" s="26">
        <f>27.03</f>
        <v>27.03</v>
      </c>
      <c r="F93" s="22"/>
      <c r="G93" s="26"/>
      <c r="H93" s="22"/>
      <c r="I93" s="26">
        <v>63.42</v>
      </c>
      <c r="J93" s="22">
        <v>73</v>
      </c>
      <c r="K93" s="57">
        <v>0</v>
      </c>
      <c r="L93" s="39">
        <v>0</v>
      </c>
      <c r="M93" s="26">
        <f t="shared" si="16"/>
        <v>0</v>
      </c>
      <c r="N93" s="22">
        <v>75</v>
      </c>
    </row>
    <row r="94" spans="1:14" ht="20.100000000000001" customHeight="1" outlineLevel="2" x14ac:dyDescent="0.2">
      <c r="A94" s="12" t="s">
        <v>138</v>
      </c>
      <c r="B94" s="12">
        <v>632320</v>
      </c>
      <c r="C94" s="12" t="s">
        <v>95</v>
      </c>
      <c r="D94" s="22"/>
      <c r="E94" s="26">
        <f>493.65</f>
        <v>493.65</v>
      </c>
      <c r="F94" s="22"/>
      <c r="G94" s="26">
        <f>474.8</f>
        <v>474.8</v>
      </c>
      <c r="H94" s="22"/>
      <c r="I94" s="26">
        <v>474.19</v>
      </c>
      <c r="J94" s="22">
        <v>497</v>
      </c>
      <c r="K94" s="57">
        <v>454.08</v>
      </c>
      <c r="L94" s="39">
        <f>+K94/10*2</f>
        <v>90.816000000000003</v>
      </c>
      <c r="M94" s="26">
        <f t="shared" si="16"/>
        <v>544.89599999999996</v>
      </c>
      <c r="N94" s="22">
        <v>550</v>
      </c>
    </row>
    <row r="95" spans="1:14" ht="20.100000000000001" customHeight="1" outlineLevel="2" x14ac:dyDescent="0.2">
      <c r="A95" s="12" t="s">
        <v>138</v>
      </c>
      <c r="B95" s="12">
        <v>632330</v>
      </c>
      <c r="C95" s="12" t="s">
        <v>96</v>
      </c>
      <c r="D95" s="22"/>
      <c r="E95" s="26">
        <f>2000</f>
        <v>2000</v>
      </c>
      <c r="F95" s="22"/>
      <c r="G95" s="26">
        <f>2488.08</f>
        <v>2488.08</v>
      </c>
      <c r="H95" s="22"/>
      <c r="I95" s="26">
        <v>2982.52</v>
      </c>
      <c r="J95" s="22">
        <v>1507</v>
      </c>
      <c r="K95" s="57">
        <v>2982.52</v>
      </c>
      <c r="L95" s="39">
        <v>0</v>
      </c>
      <c r="M95" s="26">
        <f t="shared" si="16"/>
        <v>2982.52</v>
      </c>
      <c r="N95" s="22">
        <v>2000</v>
      </c>
    </row>
    <row r="96" spans="1:14" ht="20.100000000000001" customHeight="1" outlineLevel="2" x14ac:dyDescent="0.2">
      <c r="A96" s="12" t="s">
        <v>138</v>
      </c>
      <c r="B96" s="12">
        <v>632340</v>
      </c>
      <c r="C96" s="12" t="s">
        <v>97</v>
      </c>
      <c r="D96" s="22"/>
      <c r="E96" s="26">
        <f>508.35</f>
        <v>508.35</v>
      </c>
      <c r="F96" s="22"/>
      <c r="G96" s="26">
        <f>489.48</f>
        <v>489.48</v>
      </c>
      <c r="H96" s="22"/>
      <c r="I96" s="26">
        <v>588.89</v>
      </c>
      <c r="J96" s="22">
        <v>666</v>
      </c>
      <c r="K96" s="57">
        <v>489.07</v>
      </c>
      <c r="L96" s="39">
        <f>+K96/10*2</f>
        <v>97.813999999999993</v>
      </c>
      <c r="M96" s="26">
        <f t="shared" si="16"/>
        <v>586.88400000000001</v>
      </c>
      <c r="N96" s="22">
        <v>600</v>
      </c>
    </row>
    <row r="97" spans="1:15" s="6" customFormat="1" ht="20.100000000000001" customHeight="1" outlineLevel="1" x14ac:dyDescent="0.2">
      <c r="A97" s="1" t="s">
        <v>156</v>
      </c>
      <c r="B97" s="1"/>
      <c r="C97" s="1"/>
      <c r="D97" s="21">
        <v>32725</v>
      </c>
      <c r="E97" s="25">
        <f>SUBTOTAL(9,E88:E96)</f>
        <v>33712.36</v>
      </c>
      <c r="F97" s="21">
        <v>32725</v>
      </c>
      <c r="G97" s="25">
        <f>SUBTOTAL(9,G88:G96)</f>
        <v>35006.61</v>
      </c>
      <c r="H97" s="21">
        <v>39051</v>
      </c>
      <c r="I97" s="25">
        <f>SUBTOTAL(9,I88:I96)</f>
        <v>36281.119999999995</v>
      </c>
      <c r="J97" s="21">
        <f>SUBTOTAL(9,J88:J96)</f>
        <v>40044</v>
      </c>
      <c r="K97" s="13">
        <f>SUBTOTAL(9,K88:K96)</f>
        <v>32996.890000000007</v>
      </c>
      <c r="L97" s="13">
        <f>SUBTOTAL(9,L88:L96)</f>
        <v>6002.8740000000007</v>
      </c>
      <c r="M97" s="25">
        <f>+SUM(K97:L97)</f>
        <v>38999.76400000001</v>
      </c>
      <c r="N97" s="21">
        <f>SUBTOTAL(9,N88:N96)</f>
        <v>39125</v>
      </c>
    </row>
    <row r="98" spans="1:15" ht="20.100000000000001" customHeight="1" outlineLevel="2" x14ac:dyDescent="0.2">
      <c r="A98" s="12" t="s">
        <v>92</v>
      </c>
      <c r="B98" s="12">
        <v>632210</v>
      </c>
      <c r="C98" s="12" t="s">
        <v>93</v>
      </c>
      <c r="D98" s="22"/>
      <c r="E98" s="26">
        <f>26698.23</f>
        <v>26698.23</v>
      </c>
      <c r="F98" s="22"/>
      <c r="G98" s="26">
        <f>28170.86</f>
        <v>28170.86</v>
      </c>
      <c r="H98" s="22"/>
      <c r="I98" s="26">
        <v>29995.06</v>
      </c>
      <c r="J98" s="22">
        <f>ROUNDUP((2509.38+24.27)*12,0)</f>
        <v>30404</v>
      </c>
      <c r="K98" s="57">
        <v>30059.72</v>
      </c>
      <c r="L98" s="39">
        <v>2875</v>
      </c>
      <c r="M98" s="26">
        <f t="shared" ref="M98:M99" si="17">+SUM(K98:L98)</f>
        <v>32934.720000000001</v>
      </c>
      <c r="N98" s="22">
        <f>2875*12</f>
        <v>34500</v>
      </c>
    </row>
    <row r="99" spans="1:15" ht="20.100000000000001" customHeight="1" outlineLevel="2" x14ac:dyDescent="0.2">
      <c r="A99" s="12" t="s">
        <v>92</v>
      </c>
      <c r="B99" s="12">
        <v>632230</v>
      </c>
      <c r="C99" s="12" t="s">
        <v>94</v>
      </c>
      <c r="D99" s="22"/>
      <c r="E99" s="26">
        <f>2329.97</f>
        <v>2329.9699999999998</v>
      </c>
      <c r="F99" s="22"/>
      <c r="G99" s="26">
        <f>1982.68</f>
        <v>1982.68</v>
      </c>
      <c r="H99" s="22"/>
      <c r="I99" s="26">
        <v>2083.7199999999998</v>
      </c>
      <c r="J99" s="22">
        <f>ROUNDUP((161.81+15.5)*12,0)</f>
        <v>2128</v>
      </c>
      <c r="K99" s="57">
        <v>2445.65</v>
      </c>
      <c r="L99" s="39">
        <v>240</v>
      </c>
      <c r="M99" s="26">
        <f t="shared" si="17"/>
        <v>2685.65</v>
      </c>
      <c r="N99" s="22">
        <f>240*12</f>
        <v>2880</v>
      </c>
    </row>
    <row r="100" spans="1:15" s="6" customFormat="1" ht="20.100000000000001" customHeight="1" outlineLevel="1" x14ac:dyDescent="0.2">
      <c r="A100" s="1" t="s">
        <v>170</v>
      </c>
      <c r="B100" s="1"/>
      <c r="C100" s="1"/>
      <c r="D100" s="21">
        <v>29740</v>
      </c>
      <c r="E100" s="25">
        <f>SUBTOTAL(9,E98:E99)</f>
        <v>29028.2</v>
      </c>
      <c r="F100" s="21">
        <v>29740</v>
      </c>
      <c r="G100" s="25">
        <f>SUBTOTAL(9,G98:G99)</f>
        <v>30153.54</v>
      </c>
      <c r="H100" s="21">
        <v>30420</v>
      </c>
      <c r="I100" s="25">
        <f>SUBTOTAL(9,I98:I99)</f>
        <v>32078.780000000002</v>
      </c>
      <c r="J100" s="21">
        <f>SUBTOTAL(9,J98:J99)</f>
        <v>32532</v>
      </c>
      <c r="K100" s="13">
        <f>SUBTOTAL(9,K98:K99)</f>
        <v>32505.370000000003</v>
      </c>
      <c r="L100" s="13">
        <f>SUBTOTAL(9,L98:L99)</f>
        <v>3115</v>
      </c>
      <c r="M100" s="25">
        <f>+SUM(K100:L100)</f>
        <v>35620.370000000003</v>
      </c>
      <c r="N100" s="21">
        <f>SUBTOTAL(9,N98:N99)</f>
        <v>37380</v>
      </c>
    </row>
    <row r="101" spans="1:15" ht="20.100000000000001" customHeight="1" outlineLevel="2" x14ac:dyDescent="0.2">
      <c r="A101" s="12" t="s">
        <v>101</v>
      </c>
      <c r="B101" s="12">
        <v>632410</v>
      </c>
      <c r="C101" s="12" t="s">
        <v>99</v>
      </c>
      <c r="D101" s="22"/>
      <c r="E101" s="26">
        <f>3262.34</f>
        <v>3262.34</v>
      </c>
      <c r="F101" s="22"/>
      <c r="G101" s="26">
        <f>3986.6</f>
        <v>3986.6</v>
      </c>
      <c r="H101" s="22"/>
      <c r="I101" s="26">
        <v>3866.37</v>
      </c>
      <c r="J101" s="22">
        <f>300*12</f>
        <v>3600</v>
      </c>
      <c r="K101" s="57">
        <v>2902.77</v>
      </c>
      <c r="L101" s="39">
        <f>375*3</f>
        <v>1125</v>
      </c>
      <c r="M101" s="26">
        <f t="shared" ref="M101:M108" si="18">+SUM(K101:L101)</f>
        <v>4027.77</v>
      </c>
      <c r="N101" s="22">
        <f>375*12</f>
        <v>4500</v>
      </c>
    </row>
    <row r="102" spans="1:15" ht="20.100000000000001" customHeight="1" outlineLevel="2" x14ac:dyDescent="0.2">
      <c r="A102" s="12" t="s">
        <v>101</v>
      </c>
      <c r="B102" s="12">
        <v>632420</v>
      </c>
      <c r="C102" s="12" t="s">
        <v>253</v>
      </c>
      <c r="D102" s="22"/>
      <c r="E102" s="26"/>
      <c r="F102" s="22"/>
      <c r="G102" s="26"/>
      <c r="H102" s="22"/>
      <c r="I102" s="26">
        <v>314.38</v>
      </c>
      <c r="J102" s="22">
        <v>0</v>
      </c>
      <c r="K102" s="57">
        <v>508.86</v>
      </c>
      <c r="L102" s="39">
        <f>56.54*2</f>
        <v>113.08</v>
      </c>
      <c r="M102" s="26">
        <f t="shared" si="18"/>
        <v>621.94000000000005</v>
      </c>
      <c r="N102" s="22">
        <f>57*12</f>
        <v>684</v>
      </c>
    </row>
    <row r="103" spans="1:15" ht="20.100000000000001" customHeight="1" outlineLevel="2" x14ac:dyDescent="0.2">
      <c r="A103" s="12" t="s">
        <v>101</v>
      </c>
      <c r="B103" s="12">
        <v>632430</v>
      </c>
      <c r="C103" s="12" t="s">
        <v>100</v>
      </c>
      <c r="D103" s="22"/>
      <c r="E103" s="26">
        <f>2896.43</f>
        <v>2896.43</v>
      </c>
      <c r="F103" s="22"/>
      <c r="G103" s="26">
        <f>3907.76</f>
        <v>3907.76</v>
      </c>
      <c r="H103" s="22"/>
      <c r="I103" s="26">
        <v>2759.4</v>
      </c>
      <c r="J103" s="22">
        <f>250*12</f>
        <v>3000</v>
      </c>
      <c r="K103" s="57">
        <v>3616.49</v>
      </c>
      <c r="L103" s="39">
        <v>400</v>
      </c>
      <c r="M103" s="26">
        <f t="shared" si="18"/>
        <v>4016.49</v>
      </c>
      <c r="N103" s="22">
        <f>400*12</f>
        <v>4800</v>
      </c>
    </row>
    <row r="104" spans="1:15" ht="20.100000000000001" customHeight="1" outlineLevel="2" x14ac:dyDescent="0.2">
      <c r="A104" s="12" t="s">
        <v>101</v>
      </c>
      <c r="B104" s="12">
        <v>632440</v>
      </c>
      <c r="C104" s="12" t="s">
        <v>102</v>
      </c>
      <c r="D104" s="22"/>
      <c r="E104" s="26">
        <f>702.25</f>
        <v>702.25</v>
      </c>
      <c r="F104" s="22"/>
      <c r="G104" s="26">
        <f>887.56</f>
        <v>887.56</v>
      </c>
      <c r="H104" s="22"/>
      <c r="I104" s="26">
        <v>1125</v>
      </c>
      <c r="J104" s="22">
        <v>1300</v>
      </c>
      <c r="K104" s="57">
        <v>1232.74</v>
      </c>
      <c r="L104" s="39">
        <v>0</v>
      </c>
      <c r="M104" s="26">
        <f t="shared" si="18"/>
        <v>1232.74</v>
      </c>
      <c r="N104" s="22">
        <v>1300</v>
      </c>
    </row>
    <row r="105" spans="1:15" ht="20.100000000000001" customHeight="1" outlineLevel="2" x14ac:dyDescent="0.2">
      <c r="A105" s="12" t="s">
        <v>101</v>
      </c>
      <c r="B105" s="12">
        <v>633100</v>
      </c>
      <c r="C105" s="12" t="s">
        <v>103</v>
      </c>
      <c r="D105" s="22"/>
      <c r="E105" s="26">
        <f>4517.95</f>
        <v>4517.95</v>
      </c>
      <c r="F105" s="22"/>
      <c r="G105" s="26">
        <f>5919.12</f>
        <v>5919.12</v>
      </c>
      <c r="H105" s="22"/>
      <c r="I105" s="26">
        <v>6273.94</v>
      </c>
      <c r="J105" s="22">
        <f>550*12</f>
        <v>6600</v>
      </c>
      <c r="K105" s="57">
        <v>6014.65</v>
      </c>
      <c r="L105" s="39">
        <f>100+190+130+155</f>
        <v>575</v>
      </c>
      <c r="M105" s="26">
        <f t="shared" si="18"/>
        <v>6589.65</v>
      </c>
      <c r="N105" s="22">
        <f>575*12</f>
        <v>6900</v>
      </c>
    </row>
    <row r="106" spans="1:15" ht="20.100000000000001" customHeight="1" outlineLevel="2" x14ac:dyDescent="0.2">
      <c r="A106" s="12" t="s">
        <v>101</v>
      </c>
      <c r="B106" s="12">
        <v>633200</v>
      </c>
      <c r="C106" s="12" t="s">
        <v>104</v>
      </c>
      <c r="D106" s="22"/>
      <c r="E106" s="26">
        <f>3200.17</f>
        <v>3200.17</v>
      </c>
      <c r="F106" s="22"/>
      <c r="G106" s="26">
        <f>940.41</f>
        <v>940.41</v>
      </c>
      <c r="H106" s="22"/>
      <c r="I106" s="26">
        <v>1583.02</v>
      </c>
      <c r="J106" s="22">
        <v>1000</v>
      </c>
      <c r="K106" s="57">
        <v>5406.74</v>
      </c>
      <c r="L106" s="39">
        <v>95</v>
      </c>
      <c r="M106" s="26">
        <f t="shared" si="18"/>
        <v>5501.74</v>
      </c>
      <c r="N106" s="22">
        <f>95*12+2000</f>
        <v>3140</v>
      </c>
      <c r="O106" s="2" t="s">
        <v>282</v>
      </c>
    </row>
    <row r="107" spans="1:15" ht="20.100000000000001" customHeight="1" outlineLevel="2" x14ac:dyDescent="0.2">
      <c r="A107" s="12" t="s">
        <v>101</v>
      </c>
      <c r="B107" s="12">
        <v>633300</v>
      </c>
      <c r="C107" s="12" t="s">
        <v>105</v>
      </c>
      <c r="D107" s="22"/>
      <c r="E107" s="26">
        <f>259.07</f>
        <v>259.07</v>
      </c>
      <c r="F107" s="22"/>
      <c r="G107" s="26">
        <f>259.07</f>
        <v>259.07</v>
      </c>
      <c r="H107" s="22"/>
      <c r="I107" s="26">
        <v>259.07</v>
      </c>
      <c r="J107" s="22">
        <v>350</v>
      </c>
      <c r="K107" s="57">
        <v>4501.7</v>
      </c>
      <c r="L107" s="39"/>
      <c r="M107" s="26">
        <f t="shared" si="18"/>
        <v>4501.7</v>
      </c>
      <c r="N107" s="22">
        <v>2200</v>
      </c>
    </row>
    <row r="108" spans="1:15" ht="20.100000000000001" customHeight="1" outlineLevel="2" x14ac:dyDescent="0.2">
      <c r="A108" s="12" t="s">
        <v>101</v>
      </c>
      <c r="B108" s="12">
        <v>633400</v>
      </c>
      <c r="C108" s="12" t="s">
        <v>106</v>
      </c>
      <c r="D108" s="22"/>
      <c r="E108" s="26">
        <f>1972.57</f>
        <v>1972.57</v>
      </c>
      <c r="F108" s="22"/>
      <c r="G108" s="26">
        <f>399.5</f>
        <v>399.5</v>
      </c>
      <c r="H108" s="22"/>
      <c r="I108" s="26">
        <v>2187.9</v>
      </c>
      <c r="J108" s="22">
        <v>1000</v>
      </c>
      <c r="K108" s="57">
        <v>712</v>
      </c>
      <c r="L108" s="39"/>
      <c r="M108" s="26">
        <f t="shared" si="18"/>
        <v>712</v>
      </c>
      <c r="N108" s="22">
        <v>1000</v>
      </c>
    </row>
    <row r="109" spans="1:15" s="6" customFormat="1" ht="20.100000000000001" customHeight="1" outlineLevel="1" x14ac:dyDescent="0.2">
      <c r="A109" s="1" t="s">
        <v>157</v>
      </c>
      <c r="B109" s="1"/>
      <c r="C109" s="1"/>
      <c r="D109" s="21">
        <v>11480</v>
      </c>
      <c r="E109" s="25">
        <f>SUBTOTAL(9,E101:E108)</f>
        <v>16810.780000000002</v>
      </c>
      <c r="F109" s="21">
        <v>11480</v>
      </c>
      <c r="G109" s="25">
        <f>SUBTOTAL(9,G101:G108)</f>
        <v>16300.02</v>
      </c>
      <c r="H109" s="21">
        <v>16220</v>
      </c>
      <c r="I109" s="25">
        <f>SUBTOTAL(9,I101:I108)</f>
        <v>18369.080000000002</v>
      </c>
      <c r="J109" s="21">
        <f>SUBTOTAL(9,J101:J108)</f>
        <v>16850</v>
      </c>
      <c r="K109" s="13">
        <f>SUBTOTAL(9,K101:K108)</f>
        <v>24895.95</v>
      </c>
      <c r="L109" s="13">
        <f>SUBTOTAL(9,L101:L108)</f>
        <v>2308.08</v>
      </c>
      <c r="M109" s="25">
        <f>+SUM(K109:L109)</f>
        <v>27204.03</v>
      </c>
      <c r="N109" s="21">
        <f>SUBTOTAL(9,N101:N108)</f>
        <v>24524</v>
      </c>
    </row>
    <row r="110" spans="1:15" ht="20.100000000000001" customHeight="1" outlineLevel="2" x14ac:dyDescent="0.2">
      <c r="A110" s="12" t="s">
        <v>107</v>
      </c>
      <c r="B110" s="12">
        <v>635100</v>
      </c>
      <c r="C110" s="12" t="s">
        <v>108</v>
      </c>
      <c r="D110" s="22"/>
      <c r="E110" s="26">
        <f>10680.21</f>
        <v>10680.21</v>
      </c>
      <c r="F110" s="22"/>
      <c r="G110" s="26">
        <f>9100.55</f>
        <v>9100.5499999999993</v>
      </c>
      <c r="H110" s="22"/>
      <c r="I110" s="26">
        <v>9042.73</v>
      </c>
      <c r="J110" s="22">
        <v>11000</v>
      </c>
      <c r="K110" s="57">
        <v>4609.22</v>
      </c>
      <c r="L110" s="39">
        <v>400</v>
      </c>
      <c r="M110" s="26">
        <f t="shared" ref="M110:M116" si="19">+SUM(K110:L110)</f>
        <v>5009.22</v>
      </c>
      <c r="N110" s="22">
        <v>6500</v>
      </c>
    </row>
    <row r="111" spans="1:15" ht="20.100000000000001" customHeight="1" outlineLevel="2" x14ac:dyDescent="0.2">
      <c r="A111" s="12" t="s">
        <v>107</v>
      </c>
      <c r="B111" s="12">
        <v>635210</v>
      </c>
      <c r="C111" s="12" t="s">
        <v>109</v>
      </c>
      <c r="D111" s="22"/>
      <c r="E111" s="26">
        <f>19149.03</f>
        <v>19149.03</v>
      </c>
      <c r="F111" s="22"/>
      <c r="G111" s="26">
        <f>523.12</f>
        <v>523.12</v>
      </c>
      <c r="H111" s="22"/>
      <c r="I111" s="26">
        <v>2310.33</v>
      </c>
      <c r="J111" s="22">
        <v>1000</v>
      </c>
      <c r="K111" s="57">
        <v>2958.32</v>
      </c>
      <c r="L111" s="39">
        <v>0</v>
      </c>
      <c r="M111" s="26">
        <f t="shared" si="19"/>
        <v>2958.32</v>
      </c>
      <c r="N111" s="22">
        <v>2000</v>
      </c>
    </row>
    <row r="112" spans="1:15" ht="20.100000000000001" customHeight="1" outlineLevel="2" x14ac:dyDescent="0.2">
      <c r="A112" s="12" t="s">
        <v>107</v>
      </c>
      <c r="B112" s="12">
        <v>635220</v>
      </c>
      <c r="C112" s="12" t="s">
        <v>110</v>
      </c>
      <c r="D112" s="22"/>
      <c r="E112" s="26">
        <f>6943.81</f>
        <v>6943.81</v>
      </c>
      <c r="F112" s="22"/>
      <c r="G112" s="26">
        <f>4095.23</f>
        <v>4095.23</v>
      </c>
      <c r="H112" s="22"/>
      <c r="I112" s="26">
        <v>4460</v>
      </c>
      <c r="J112" s="22">
        <v>3500</v>
      </c>
      <c r="K112" s="57">
        <v>12841.34</v>
      </c>
      <c r="L112" s="39">
        <f>400+300</f>
        <v>700</v>
      </c>
      <c r="M112" s="26">
        <f t="shared" si="19"/>
        <v>13541.34</v>
      </c>
      <c r="N112" s="22">
        <v>5000</v>
      </c>
      <c r="O112" s="2" t="s">
        <v>256</v>
      </c>
    </row>
    <row r="113" spans="1:15" ht="20.100000000000001" customHeight="1" outlineLevel="2" x14ac:dyDescent="0.2">
      <c r="A113" s="12" t="s">
        <v>107</v>
      </c>
      <c r="B113" s="12">
        <v>635230</v>
      </c>
      <c r="C113" s="12" t="s">
        <v>111</v>
      </c>
      <c r="D113" s="22"/>
      <c r="E113" s="26">
        <f>5110.4</f>
        <v>5110.3999999999996</v>
      </c>
      <c r="F113" s="22"/>
      <c r="G113" s="26">
        <f>6632.36</f>
        <v>6632.36</v>
      </c>
      <c r="H113" s="22"/>
      <c r="I113" s="26">
        <v>20234.37</v>
      </c>
      <c r="J113" s="22">
        <v>3000</v>
      </c>
      <c r="K113" s="57">
        <v>22164.81</v>
      </c>
      <c r="L113" s="39">
        <v>4500</v>
      </c>
      <c r="M113" s="26">
        <f t="shared" si="19"/>
        <v>26664.81</v>
      </c>
      <c r="N113" s="22">
        <v>26000</v>
      </c>
    </row>
    <row r="114" spans="1:15" ht="20.100000000000001" customHeight="1" outlineLevel="2" x14ac:dyDescent="0.2">
      <c r="A114" s="12" t="s">
        <v>107</v>
      </c>
      <c r="B114" s="12">
        <v>635240</v>
      </c>
      <c r="C114" s="12" t="s">
        <v>112</v>
      </c>
      <c r="D114" s="22"/>
      <c r="E114" s="26">
        <f>2187.05</f>
        <v>2187.0500000000002</v>
      </c>
      <c r="F114" s="22"/>
      <c r="G114" s="26">
        <f>1291.86</f>
        <v>1291.8599999999999</v>
      </c>
      <c r="H114" s="22"/>
      <c r="I114" s="26">
        <v>1655.8</v>
      </c>
      <c r="J114" s="22">
        <v>1650</v>
      </c>
      <c r="K114" s="57">
        <v>1386.2</v>
      </c>
      <c r="L114" s="39">
        <v>175</v>
      </c>
      <c r="M114" s="26">
        <f t="shared" si="19"/>
        <v>1561.2</v>
      </c>
      <c r="N114" s="22">
        <v>1650</v>
      </c>
    </row>
    <row r="115" spans="1:15" ht="20.100000000000001" customHeight="1" outlineLevel="2" x14ac:dyDescent="0.2">
      <c r="A115" s="12" t="s">
        <v>107</v>
      </c>
      <c r="B115" s="12">
        <v>635250</v>
      </c>
      <c r="C115" s="12" t="s">
        <v>113</v>
      </c>
      <c r="D115" s="22"/>
      <c r="E115" s="26">
        <f>150</f>
        <v>150</v>
      </c>
      <c r="F115" s="22"/>
      <c r="G115" s="26">
        <f>260.75</f>
        <v>260.75</v>
      </c>
      <c r="H115" s="22"/>
      <c r="I115" s="26">
        <v>98.03</v>
      </c>
      <c r="J115" s="22">
        <v>200</v>
      </c>
      <c r="K115" s="57">
        <v>0</v>
      </c>
      <c r="L115" s="39"/>
      <c r="M115" s="26">
        <f t="shared" si="19"/>
        <v>0</v>
      </c>
      <c r="N115" s="22"/>
    </row>
    <row r="116" spans="1:15" ht="20.100000000000001" customHeight="1" outlineLevel="2" x14ac:dyDescent="0.2">
      <c r="A116" s="12" t="s">
        <v>107</v>
      </c>
      <c r="B116" s="12">
        <v>635260</v>
      </c>
      <c r="C116" s="12" t="s">
        <v>35</v>
      </c>
      <c r="D116" s="22"/>
      <c r="E116" s="26">
        <f>843.01</f>
        <v>843.01</v>
      </c>
      <c r="F116" s="22"/>
      <c r="G116" s="26">
        <f>44.9</f>
        <v>44.9</v>
      </c>
      <c r="H116" s="22"/>
      <c r="I116" s="26">
        <v>2930.1</v>
      </c>
      <c r="J116" s="22">
        <v>100</v>
      </c>
      <c r="K116" s="57">
        <v>157.83000000000001</v>
      </c>
      <c r="L116" s="39"/>
      <c r="M116" s="26">
        <f t="shared" si="19"/>
        <v>157.83000000000001</v>
      </c>
      <c r="N116" s="22">
        <v>100</v>
      </c>
    </row>
    <row r="117" spans="1:15" s="6" customFormat="1" ht="20.100000000000001" customHeight="1" outlineLevel="1" x14ac:dyDescent="0.2">
      <c r="A117" s="1" t="s">
        <v>158</v>
      </c>
      <c r="B117" s="1"/>
      <c r="C117" s="1"/>
      <c r="D117" s="21">
        <v>20400</v>
      </c>
      <c r="E117" s="25">
        <f>SUBTOTAL(9,E110:E116)</f>
        <v>45063.51</v>
      </c>
      <c r="F117" s="21">
        <v>20400</v>
      </c>
      <c r="G117" s="25">
        <f>SUBTOTAL(9,G110:G116)</f>
        <v>21948.77</v>
      </c>
      <c r="H117" s="21">
        <v>22100</v>
      </c>
      <c r="I117" s="25">
        <f>SUBTOTAL(9,I110:I116)</f>
        <v>40731.360000000001</v>
      </c>
      <c r="J117" s="21">
        <f>SUBTOTAL(9,J110:J116)</f>
        <v>20450</v>
      </c>
      <c r="K117" s="13">
        <f>SUBTOTAL(9,K110:K116)</f>
        <v>44117.72</v>
      </c>
      <c r="L117" s="13">
        <f>SUBTOTAL(9,L110:L116)</f>
        <v>5775</v>
      </c>
      <c r="M117" s="25">
        <f>+SUM(K117:L117)</f>
        <v>49892.72</v>
      </c>
      <c r="N117" s="21">
        <f>SUBTOTAL(9,N110:N116)</f>
        <v>41250</v>
      </c>
    </row>
    <row r="118" spans="1:15" ht="20.100000000000001" customHeight="1" outlineLevel="2" x14ac:dyDescent="0.2">
      <c r="A118" s="12" t="s">
        <v>167</v>
      </c>
      <c r="B118" s="12">
        <v>636610</v>
      </c>
      <c r="C118" s="12" t="s">
        <v>114</v>
      </c>
      <c r="D118" s="22"/>
      <c r="E118" s="26">
        <f>10719.76</f>
        <v>10719.76</v>
      </c>
      <c r="F118" s="22"/>
      <c r="G118" s="26">
        <f>13691.27</f>
        <v>13691.27</v>
      </c>
      <c r="H118" s="22"/>
      <c r="I118" s="26">
        <v>19751.22</v>
      </c>
      <c r="J118" s="22">
        <v>15000</v>
      </c>
      <c r="K118" s="57">
        <v>22843.360000000001</v>
      </c>
      <c r="L118" s="39">
        <v>2250</v>
      </c>
      <c r="M118" s="26">
        <f t="shared" ref="M118:M128" si="20">+SUM(K118:L118)</f>
        <v>25093.360000000001</v>
      </c>
      <c r="N118" s="22">
        <f>2250*12</f>
        <v>27000</v>
      </c>
    </row>
    <row r="119" spans="1:15" ht="20.100000000000001" customHeight="1" outlineLevel="2" x14ac:dyDescent="0.2">
      <c r="A119" s="12" t="s">
        <v>167</v>
      </c>
      <c r="B119" s="12">
        <v>636620</v>
      </c>
      <c r="C119" s="12" t="s">
        <v>115</v>
      </c>
      <c r="D119" s="22">
        <v>30000</v>
      </c>
      <c r="E119" s="26">
        <f>2702.5+11810</f>
        <v>14512.5</v>
      </c>
      <c r="F119" s="22">
        <v>30000</v>
      </c>
      <c r="G119" s="26">
        <f>1500+4440</f>
        <v>5940</v>
      </c>
      <c r="H119" s="22">
        <v>30000</v>
      </c>
      <c r="I119" s="26">
        <v>15880</v>
      </c>
      <c r="J119" s="22">
        <v>30000</v>
      </c>
      <c r="K119" s="57">
        <f>15084.45+5000</f>
        <v>20084.45</v>
      </c>
      <c r="L119" s="39">
        <v>0</v>
      </c>
      <c r="M119" s="26">
        <v>5000</v>
      </c>
      <c r="N119" s="22"/>
      <c r="O119" s="2" t="s">
        <v>283</v>
      </c>
    </row>
    <row r="120" spans="1:15" ht="20.100000000000001" customHeight="1" outlineLevel="2" x14ac:dyDescent="0.2">
      <c r="A120" s="12" t="s">
        <v>167</v>
      </c>
      <c r="B120" s="12">
        <v>636630</v>
      </c>
      <c r="C120" s="12" t="s">
        <v>116</v>
      </c>
      <c r="D120" s="22"/>
      <c r="E120" s="26">
        <f>3937.5</f>
        <v>3937.5</v>
      </c>
      <c r="F120" s="22"/>
      <c r="G120" s="26">
        <f>5019</f>
        <v>5019</v>
      </c>
      <c r="H120" s="22"/>
      <c r="I120" s="26">
        <v>5514.44</v>
      </c>
      <c r="J120" s="22">
        <v>6000</v>
      </c>
      <c r="K120" s="57">
        <v>6761.55</v>
      </c>
      <c r="L120" s="39">
        <f>345*3</f>
        <v>1035</v>
      </c>
      <c r="M120" s="26">
        <f t="shared" si="20"/>
        <v>7796.55</v>
      </c>
      <c r="N120" s="22">
        <v>7500</v>
      </c>
    </row>
    <row r="121" spans="1:15" ht="20.100000000000001" customHeight="1" outlineLevel="2" x14ac:dyDescent="0.2">
      <c r="A121" s="12" t="s">
        <v>167</v>
      </c>
      <c r="B121" s="12">
        <v>636650</v>
      </c>
      <c r="C121" s="12" t="s">
        <v>13</v>
      </c>
      <c r="D121" s="22"/>
      <c r="E121" s="26">
        <f>1789.87</f>
        <v>1789.87</v>
      </c>
      <c r="F121" s="22"/>
      <c r="G121" s="26">
        <f>799.41</f>
        <v>799.41</v>
      </c>
      <c r="H121" s="22"/>
      <c r="I121" s="26">
        <v>1550.55</v>
      </c>
      <c r="J121" s="22">
        <v>1500</v>
      </c>
      <c r="K121" s="57">
        <v>1426.83</v>
      </c>
      <c r="L121" s="39">
        <v>500</v>
      </c>
      <c r="M121" s="26">
        <f t="shared" si="20"/>
        <v>1926.83</v>
      </c>
      <c r="N121" s="22">
        <v>2000</v>
      </c>
    </row>
    <row r="122" spans="1:15" ht="20.100000000000001" customHeight="1" outlineLevel="2" x14ac:dyDescent="0.2">
      <c r="A122" s="12" t="s">
        <v>167</v>
      </c>
      <c r="B122" s="12">
        <v>636680</v>
      </c>
      <c r="C122" s="12" t="s">
        <v>119</v>
      </c>
      <c r="D122" s="22"/>
      <c r="E122" s="26">
        <f>65000</f>
        <v>65000</v>
      </c>
      <c r="F122" s="22"/>
      <c r="G122" s="26">
        <f>71000</f>
        <v>71000</v>
      </c>
      <c r="H122" s="22"/>
      <c r="I122" s="26">
        <v>78000</v>
      </c>
      <c r="J122" s="22">
        <v>100000</v>
      </c>
      <c r="K122" s="57">
        <v>86960.320000000007</v>
      </c>
      <c r="L122" s="39">
        <f>912+1824+1000+300</f>
        <v>4036</v>
      </c>
      <c r="M122" s="26">
        <f t="shared" si="20"/>
        <v>90996.32</v>
      </c>
      <c r="N122" s="22">
        <v>91000</v>
      </c>
    </row>
    <row r="123" spans="1:15" ht="20.100000000000001" customHeight="1" outlineLevel="2" x14ac:dyDescent="0.2">
      <c r="A123" s="12" t="s">
        <v>167</v>
      </c>
      <c r="B123" s="12">
        <v>636685</v>
      </c>
      <c r="C123" s="12" t="s">
        <v>120</v>
      </c>
      <c r="D123" s="22"/>
      <c r="E123" s="26">
        <f>447.5</f>
        <v>447.5</v>
      </c>
      <c r="F123" s="22"/>
      <c r="G123" s="26">
        <v>0</v>
      </c>
      <c r="H123" s="22"/>
      <c r="I123" s="26">
        <v>0</v>
      </c>
      <c r="J123" s="22"/>
      <c r="K123" s="57">
        <v>0</v>
      </c>
      <c r="L123" s="39"/>
      <c r="M123" s="26">
        <f t="shared" si="20"/>
        <v>0</v>
      </c>
      <c r="N123" s="22"/>
    </row>
    <row r="124" spans="1:15" ht="20.100000000000001" customHeight="1" outlineLevel="2" x14ac:dyDescent="0.2">
      <c r="A124" s="12" t="s">
        <v>167</v>
      </c>
      <c r="B124" s="12">
        <v>636690</v>
      </c>
      <c r="C124" s="12" t="s">
        <v>121</v>
      </c>
      <c r="D124" s="22"/>
      <c r="E124" s="26">
        <f>960</f>
        <v>960</v>
      </c>
      <c r="F124" s="22"/>
      <c r="G124" s="26">
        <f>1198</f>
        <v>1198</v>
      </c>
      <c r="H124" s="22"/>
      <c r="I124" s="26">
        <v>1145.25</v>
      </c>
      <c r="J124" s="22">
        <v>900</v>
      </c>
      <c r="K124" s="57">
        <v>902</v>
      </c>
      <c r="L124" s="39">
        <f>20*2</f>
        <v>40</v>
      </c>
      <c r="M124" s="26">
        <f t="shared" si="20"/>
        <v>942</v>
      </c>
      <c r="N124" s="22">
        <v>1000</v>
      </c>
    </row>
    <row r="125" spans="1:15" ht="20.100000000000001" customHeight="1" outlineLevel="2" x14ac:dyDescent="0.2">
      <c r="A125" s="12" t="s">
        <v>167</v>
      </c>
      <c r="B125" s="12">
        <v>636710</v>
      </c>
      <c r="C125" s="12" t="s">
        <v>122</v>
      </c>
      <c r="D125" s="22"/>
      <c r="E125" s="26">
        <v>0</v>
      </c>
      <c r="F125" s="22"/>
      <c r="G125" s="26">
        <f>6476.45</f>
        <v>6476.45</v>
      </c>
      <c r="H125" s="22"/>
      <c r="I125" s="26">
        <v>9070</v>
      </c>
      <c r="J125" s="22">
        <v>5500</v>
      </c>
      <c r="K125" s="57">
        <v>12200</v>
      </c>
      <c r="L125" s="39">
        <v>6100</v>
      </c>
      <c r="M125" s="26">
        <f t="shared" si="20"/>
        <v>18300</v>
      </c>
      <c r="N125" s="22">
        <v>40000</v>
      </c>
      <c r="O125" s="2" t="s">
        <v>284</v>
      </c>
    </row>
    <row r="126" spans="1:15" ht="20.100000000000001" customHeight="1" outlineLevel="2" x14ac:dyDescent="0.2">
      <c r="A126" s="12" t="s">
        <v>167</v>
      </c>
      <c r="B126" s="12">
        <v>636740</v>
      </c>
      <c r="C126" s="12" t="s">
        <v>124</v>
      </c>
      <c r="D126" s="22"/>
      <c r="E126" s="26">
        <f>3191.91</f>
        <v>3191.91</v>
      </c>
      <c r="F126" s="22"/>
      <c r="G126" s="26">
        <f>3188.88</f>
        <v>3188.88</v>
      </c>
      <c r="H126" s="22"/>
      <c r="I126" s="26">
        <v>3288.74</v>
      </c>
      <c r="J126" s="22">
        <v>0</v>
      </c>
      <c r="K126" s="57">
        <v>3868.85</v>
      </c>
      <c r="L126" s="39">
        <f>555+84+84</f>
        <v>723</v>
      </c>
      <c r="M126" s="26">
        <f t="shared" si="20"/>
        <v>4591.8500000000004</v>
      </c>
      <c r="N126" s="22">
        <f>700*12</f>
        <v>8400</v>
      </c>
      <c r="O126" s="2" t="s">
        <v>257</v>
      </c>
    </row>
    <row r="127" spans="1:15" ht="20.100000000000001" customHeight="1" outlineLevel="2" x14ac:dyDescent="0.2">
      <c r="A127" s="12" t="s">
        <v>167</v>
      </c>
      <c r="B127" s="12">
        <v>636810</v>
      </c>
      <c r="C127" s="12" t="s">
        <v>125</v>
      </c>
      <c r="D127" s="22"/>
      <c r="E127" s="26">
        <f>22086.55</f>
        <v>22086.55</v>
      </c>
      <c r="F127" s="22"/>
      <c r="G127" s="26">
        <f>19370.48</f>
        <v>19370.48</v>
      </c>
      <c r="H127" s="22"/>
      <c r="I127" s="26">
        <v>21910.35</v>
      </c>
      <c r="J127" s="22">
        <v>25000</v>
      </c>
      <c r="K127" s="57">
        <v>23421.21</v>
      </c>
      <c r="L127" s="39">
        <v>6000</v>
      </c>
      <c r="M127" s="26">
        <f t="shared" si="20"/>
        <v>29421.21</v>
      </c>
      <c r="N127" s="22">
        <v>33000</v>
      </c>
      <c r="O127" s="2" t="s">
        <v>258</v>
      </c>
    </row>
    <row r="128" spans="1:15" ht="20.100000000000001" customHeight="1" outlineLevel="2" x14ac:dyDescent="0.2">
      <c r="A128" s="12" t="s">
        <v>167</v>
      </c>
      <c r="B128" s="12">
        <v>636820</v>
      </c>
      <c r="C128" s="12" t="s">
        <v>126</v>
      </c>
      <c r="D128" s="22"/>
      <c r="E128" s="26">
        <f>9000</f>
        <v>9000</v>
      </c>
      <c r="F128" s="22"/>
      <c r="G128" s="26">
        <f>9000</f>
        <v>9000</v>
      </c>
      <c r="H128" s="22"/>
      <c r="I128" s="26">
        <v>9000</v>
      </c>
      <c r="J128" s="22">
        <v>9000</v>
      </c>
      <c r="K128" s="57">
        <v>9000</v>
      </c>
      <c r="L128" s="39">
        <v>0</v>
      </c>
      <c r="M128" s="26">
        <f t="shared" si="20"/>
        <v>9000</v>
      </c>
      <c r="N128" s="22">
        <v>9000</v>
      </c>
    </row>
    <row r="129" spans="1:15" ht="20.100000000000001" customHeight="1" outlineLevel="2" x14ac:dyDescent="0.2">
      <c r="A129" s="12" t="s">
        <v>167</v>
      </c>
      <c r="B129" s="12">
        <v>636830</v>
      </c>
      <c r="C129" s="12" t="s">
        <v>273</v>
      </c>
      <c r="D129" s="22"/>
      <c r="E129" s="26">
        <f>3690+11871.43+4401.89</f>
        <v>19963.32</v>
      </c>
      <c r="F129" s="22"/>
      <c r="G129" s="26">
        <f>404+1060</f>
        <v>1464</v>
      </c>
      <c r="H129" s="22"/>
      <c r="I129" s="26">
        <v>0</v>
      </c>
      <c r="J129" s="22">
        <v>15000</v>
      </c>
      <c r="K129" s="57">
        <v>143.54</v>
      </c>
      <c r="L129" s="39"/>
      <c r="M129" s="26">
        <f t="shared" ref="M129:M132" si="21">+SUM(K129:L129)</f>
        <v>143.54</v>
      </c>
      <c r="N129" s="22">
        <v>150</v>
      </c>
    </row>
    <row r="130" spans="1:15" ht="20.100000000000001" customHeight="1" outlineLevel="2" x14ac:dyDescent="0.2">
      <c r="A130" s="12" t="s">
        <v>167</v>
      </c>
      <c r="B130" s="12">
        <v>636830</v>
      </c>
      <c r="C130" s="12" t="s">
        <v>274</v>
      </c>
      <c r="D130" s="22"/>
      <c r="E130" s="26">
        <v>1327.03</v>
      </c>
      <c r="F130" s="22"/>
      <c r="G130" s="26">
        <v>1980</v>
      </c>
      <c r="H130" s="22"/>
      <c r="I130" s="26">
        <v>6173</v>
      </c>
      <c r="J130" s="22"/>
      <c r="K130" s="57">
        <v>1597.24</v>
      </c>
      <c r="L130" s="39">
        <v>0</v>
      </c>
      <c r="M130" s="26">
        <f t="shared" si="21"/>
        <v>1597.24</v>
      </c>
      <c r="N130" s="22">
        <v>1500</v>
      </c>
    </row>
    <row r="131" spans="1:15" ht="20.100000000000001" customHeight="1" outlineLevel="2" x14ac:dyDescent="0.2">
      <c r="A131" s="12" t="s">
        <v>167</v>
      </c>
      <c r="B131" s="12">
        <v>636830</v>
      </c>
      <c r="C131" s="12" t="s">
        <v>275</v>
      </c>
      <c r="D131" s="22"/>
      <c r="E131" s="26">
        <v>5165</v>
      </c>
      <c r="F131" s="22"/>
      <c r="G131" s="26">
        <v>810</v>
      </c>
      <c r="H131" s="22"/>
      <c r="I131" s="26">
        <v>9697.5</v>
      </c>
      <c r="J131" s="22"/>
      <c r="K131" s="57">
        <v>14859.66</v>
      </c>
      <c r="L131" s="39">
        <v>3000</v>
      </c>
      <c r="M131" s="26">
        <f t="shared" si="21"/>
        <v>17859.66</v>
      </c>
      <c r="N131" s="22">
        <v>38000</v>
      </c>
    </row>
    <row r="132" spans="1:15" ht="20.100000000000001" customHeight="1" outlineLevel="2" x14ac:dyDescent="0.2">
      <c r="A132" s="12" t="s">
        <v>167</v>
      </c>
      <c r="B132" s="12">
        <v>636830</v>
      </c>
      <c r="C132" s="12" t="s">
        <v>276</v>
      </c>
      <c r="D132" s="22"/>
      <c r="E132" s="26">
        <v>480</v>
      </c>
      <c r="F132" s="22"/>
      <c r="G132" s="26">
        <v>480</v>
      </c>
      <c r="H132" s="22"/>
      <c r="I132" s="26">
        <v>480</v>
      </c>
      <c r="J132" s="22"/>
      <c r="K132" s="57">
        <v>360</v>
      </c>
      <c r="L132" s="39">
        <f>40+40+40</f>
        <v>120</v>
      </c>
      <c r="M132" s="26">
        <f t="shared" si="21"/>
        <v>480</v>
      </c>
      <c r="N132" s="22">
        <v>480</v>
      </c>
    </row>
    <row r="133" spans="1:15" s="6" customFormat="1" ht="20.100000000000001" customHeight="1" outlineLevel="1" x14ac:dyDescent="0.2">
      <c r="A133" s="1" t="s">
        <v>171</v>
      </c>
      <c r="B133" s="1"/>
      <c r="C133" s="1"/>
      <c r="D133" s="21">
        <v>115639</v>
      </c>
      <c r="E133" s="25">
        <f>SUBTOTAL(9,E118:E132)</f>
        <v>158580.94000000003</v>
      </c>
      <c r="F133" s="21">
        <v>115639</v>
      </c>
      <c r="G133" s="25">
        <f>SUBTOTAL(9,G118:G132)</f>
        <v>140417.49</v>
      </c>
      <c r="H133" s="21">
        <f>127690+30000</f>
        <v>157690</v>
      </c>
      <c r="I133" s="25">
        <f>SUBTOTAL(9,I118:I132)</f>
        <v>181461.05000000002</v>
      </c>
      <c r="J133" s="21">
        <f>SUBTOTAL(9,J118:J132)</f>
        <v>207900</v>
      </c>
      <c r="K133" s="13">
        <f>SUBTOTAL(9,K118:K132)</f>
        <v>204429.01</v>
      </c>
      <c r="L133" s="13">
        <f>SUBTOTAL(9,L118:L132)</f>
        <v>23804</v>
      </c>
      <c r="M133" s="25">
        <f>+SUM(K133:L133)</f>
        <v>228233.01</v>
      </c>
      <c r="N133" s="21">
        <f>SUBTOTAL(9,N118:N132)</f>
        <v>259030</v>
      </c>
    </row>
    <row r="134" spans="1:15" ht="20.100000000000001" customHeight="1" outlineLevel="2" x14ac:dyDescent="0.2">
      <c r="A134" s="12" t="s">
        <v>168</v>
      </c>
      <c r="B134" s="12">
        <v>636730</v>
      </c>
      <c r="C134" s="12" t="s">
        <v>123</v>
      </c>
      <c r="D134" s="22"/>
      <c r="E134" s="26">
        <f>15000</f>
        <v>15000</v>
      </c>
      <c r="F134" s="22"/>
      <c r="G134" s="26">
        <f>13750</f>
        <v>13750</v>
      </c>
      <c r="H134" s="22"/>
      <c r="I134" s="26">
        <v>15000</v>
      </c>
      <c r="J134" s="22">
        <v>15000</v>
      </c>
      <c r="K134" s="57">
        <v>12500</v>
      </c>
      <c r="L134" s="39">
        <f>1250*2</f>
        <v>2500</v>
      </c>
      <c r="M134" s="26">
        <f t="shared" ref="M134:M136" si="22">+SUM(K134:L134)</f>
        <v>15000</v>
      </c>
      <c r="N134" s="22">
        <f>1250*12</f>
        <v>15000</v>
      </c>
    </row>
    <row r="135" spans="1:15" ht="20.100000000000001" customHeight="1" outlineLevel="2" x14ac:dyDescent="0.2">
      <c r="A135" s="12" t="s">
        <v>168</v>
      </c>
      <c r="B135" s="12">
        <v>636731</v>
      </c>
      <c r="C135" s="12" t="s">
        <v>254</v>
      </c>
      <c r="D135" s="22"/>
      <c r="E135" s="26"/>
      <c r="F135" s="22"/>
      <c r="G135" s="26"/>
      <c r="H135" s="22"/>
      <c r="I135" s="26">
        <v>2550</v>
      </c>
      <c r="J135" s="22"/>
      <c r="K135" s="57">
        <f>2550*2</f>
        <v>5100</v>
      </c>
      <c r="L135" s="39"/>
      <c r="M135" s="26">
        <f t="shared" si="22"/>
        <v>5100</v>
      </c>
      <c r="N135" s="22">
        <v>5100</v>
      </c>
    </row>
    <row r="136" spans="1:15" ht="20.100000000000001" customHeight="1" outlineLevel="2" x14ac:dyDescent="0.2">
      <c r="A136" s="12" t="s">
        <v>168</v>
      </c>
      <c r="B136" s="12"/>
      <c r="C136" s="12" t="s">
        <v>134</v>
      </c>
      <c r="D136" s="22"/>
      <c r="E136" s="26"/>
      <c r="F136" s="22"/>
      <c r="G136" s="26"/>
      <c r="H136" s="22"/>
      <c r="I136" s="26">
        <v>0</v>
      </c>
      <c r="J136" s="22">
        <v>0</v>
      </c>
      <c r="L136" s="39"/>
      <c r="M136" s="26">
        <f t="shared" si="22"/>
        <v>0</v>
      </c>
      <c r="N136" s="22"/>
    </row>
    <row r="137" spans="1:15" s="6" customFormat="1" ht="20.100000000000001" customHeight="1" outlineLevel="1" x14ac:dyDescent="0.2">
      <c r="A137" s="1" t="s">
        <v>172</v>
      </c>
      <c r="B137" s="1"/>
      <c r="C137" s="1"/>
      <c r="D137" s="21">
        <v>15000</v>
      </c>
      <c r="E137" s="25">
        <f>SUBTOTAL(9,E134:E136)</f>
        <v>15000</v>
      </c>
      <c r="F137" s="21">
        <v>15000</v>
      </c>
      <c r="G137" s="25">
        <f>SUBTOTAL(9,G134:G136)</f>
        <v>13750</v>
      </c>
      <c r="H137" s="21">
        <v>15500</v>
      </c>
      <c r="I137" s="25">
        <f>SUBTOTAL(9,I134:I136)</f>
        <v>17550</v>
      </c>
      <c r="J137" s="21">
        <f>SUBTOTAL(9,J134:J136)</f>
        <v>15000</v>
      </c>
      <c r="K137" s="13">
        <f>SUBTOTAL(9,K134:K136)</f>
        <v>17600</v>
      </c>
      <c r="L137" s="13">
        <f>SUBTOTAL(9,L134:L136)</f>
        <v>2500</v>
      </c>
      <c r="M137" s="25">
        <f>+SUM(K137:L137)</f>
        <v>20100</v>
      </c>
      <c r="N137" s="21">
        <f>SUBTOTAL(9,N134:N136)</f>
        <v>20100</v>
      </c>
    </row>
    <row r="138" spans="1:15" ht="20.100000000000001" customHeight="1" outlineLevel="2" x14ac:dyDescent="0.2">
      <c r="A138" s="12" t="s">
        <v>130</v>
      </c>
      <c r="B138" s="12">
        <v>644100</v>
      </c>
      <c r="C138" s="12" t="s">
        <v>131</v>
      </c>
      <c r="D138" s="22"/>
      <c r="E138" s="26">
        <f>9420.47</f>
        <v>9420.4699999999993</v>
      </c>
      <c r="F138" s="22"/>
      <c r="G138" s="26">
        <f>11652.63</f>
        <v>11652.63</v>
      </c>
      <c r="H138" s="22"/>
      <c r="I138" s="26">
        <v>11518.69</v>
      </c>
      <c r="J138" s="22">
        <v>11600</v>
      </c>
      <c r="K138" s="57">
        <v>14391.04</v>
      </c>
      <c r="L138" s="39"/>
      <c r="M138" s="26">
        <f t="shared" ref="M138:M140" si="23">+SUM(K138:L138)</f>
        <v>14391.04</v>
      </c>
      <c r="N138" s="22">
        <v>14400</v>
      </c>
      <c r="O138" s="2" t="s">
        <v>222</v>
      </c>
    </row>
    <row r="139" spans="1:15" ht="20.100000000000001" customHeight="1" outlineLevel="2" x14ac:dyDescent="0.2">
      <c r="A139" s="12" t="s">
        <v>130</v>
      </c>
      <c r="B139" s="12">
        <v>644200</v>
      </c>
      <c r="C139" s="12" t="s">
        <v>132</v>
      </c>
      <c r="D139" s="22"/>
      <c r="E139" s="26">
        <f>12985.34</f>
        <v>12985.34</v>
      </c>
      <c r="F139" s="22"/>
      <c r="G139" s="26">
        <f>16706.66</f>
        <v>16706.66</v>
      </c>
      <c r="H139" s="22"/>
      <c r="I139" s="26">
        <v>18171.98</v>
      </c>
      <c r="J139" s="22">
        <v>18200</v>
      </c>
      <c r="K139" s="57">
        <v>23606.67</v>
      </c>
      <c r="L139" s="39"/>
      <c r="M139" s="26">
        <f t="shared" si="23"/>
        <v>23606.67</v>
      </c>
      <c r="N139" s="22">
        <v>24000</v>
      </c>
      <c r="O139" s="2" t="s">
        <v>222</v>
      </c>
    </row>
    <row r="140" spans="1:15" ht="20.100000000000001" customHeight="1" outlineLevel="2" x14ac:dyDescent="0.2">
      <c r="A140" s="12" t="s">
        <v>130</v>
      </c>
      <c r="B140" s="12">
        <v>644300</v>
      </c>
      <c r="C140" s="12" t="s">
        <v>133</v>
      </c>
      <c r="D140" s="22"/>
      <c r="E140" s="26">
        <f>5537.77</f>
        <v>5537.77</v>
      </c>
      <c r="F140" s="22"/>
      <c r="G140" s="26">
        <f>11018.72</f>
        <v>11018.72</v>
      </c>
      <c r="H140" s="22"/>
      <c r="I140" s="26">
        <v>16503.5</v>
      </c>
      <c r="J140" s="22">
        <v>12369</v>
      </c>
      <c r="K140" s="57">
        <v>390.5</v>
      </c>
      <c r="L140" s="39">
        <v>8378</v>
      </c>
      <c r="M140" s="26">
        <f t="shared" si="23"/>
        <v>8768.5</v>
      </c>
      <c r="N140" s="22">
        <f>+Payroll!L38</f>
        <v>11317</v>
      </c>
      <c r="O140" s="2" t="s">
        <v>230</v>
      </c>
    </row>
    <row r="141" spans="1:15" s="6" customFormat="1" ht="20.100000000000001" customHeight="1" outlineLevel="1" x14ac:dyDescent="0.2">
      <c r="A141" s="1" t="s">
        <v>159</v>
      </c>
      <c r="B141" s="1"/>
      <c r="C141" s="1"/>
      <c r="D141" s="21">
        <v>32991</v>
      </c>
      <c r="E141" s="25">
        <f>SUBTOTAL(9,E138:E140)</f>
        <v>27943.579999999998</v>
      </c>
      <c r="F141" s="21">
        <v>32991</v>
      </c>
      <c r="G141" s="25">
        <f>SUBTOTAL(9,G138:G140)</f>
        <v>39378.01</v>
      </c>
      <c r="H141" s="21">
        <v>22500</v>
      </c>
      <c r="I141" s="25">
        <f>SUBTOTAL(9,I138:I140)</f>
        <v>46194.17</v>
      </c>
      <c r="J141" s="21">
        <f>SUBTOTAL(9,J138:J140)</f>
        <v>42169</v>
      </c>
      <c r="K141" s="13">
        <f>SUBTOTAL(9,K138:K140)</f>
        <v>38388.21</v>
      </c>
      <c r="L141" s="13">
        <f>SUBTOTAL(9,L138:L140)</f>
        <v>8378</v>
      </c>
      <c r="M141" s="25">
        <f>+SUM(K141:L141)</f>
        <v>46766.21</v>
      </c>
      <c r="N141" s="21">
        <f>SUBTOTAL(9,N138:N140)</f>
        <v>49717</v>
      </c>
    </row>
    <row r="142" spans="1:15" ht="20.100000000000001" customHeight="1" outlineLevel="2" x14ac:dyDescent="0.2">
      <c r="A142" s="12" t="s">
        <v>169</v>
      </c>
      <c r="B142" s="12">
        <v>651200</v>
      </c>
      <c r="C142" s="12" t="s">
        <v>110</v>
      </c>
      <c r="D142" s="22"/>
      <c r="E142" s="26">
        <f>1850.36</f>
        <v>1850.36</v>
      </c>
      <c r="F142" s="22"/>
      <c r="G142" s="26">
        <f>1905.13</f>
        <v>1905.13</v>
      </c>
      <c r="H142" s="22"/>
      <c r="I142" s="26">
        <v>675.5</v>
      </c>
      <c r="J142" s="22">
        <v>0</v>
      </c>
      <c r="K142" s="57">
        <v>0</v>
      </c>
      <c r="L142" s="39">
        <v>0</v>
      </c>
      <c r="M142" s="26">
        <f t="shared" ref="M142:M143" si="24">+SUM(K142:L142)</f>
        <v>0</v>
      </c>
      <c r="N142" s="22"/>
      <c r="O142" s="2" t="s">
        <v>272</v>
      </c>
    </row>
    <row r="143" spans="1:15" ht="20.100000000000001" customHeight="1" outlineLevel="2" x14ac:dyDescent="0.2">
      <c r="A143" s="12" t="s">
        <v>169</v>
      </c>
      <c r="B143" s="12">
        <v>651300</v>
      </c>
      <c r="C143" s="12" t="s">
        <v>98</v>
      </c>
      <c r="D143" s="22"/>
      <c r="E143" s="26">
        <f>1840.53</f>
        <v>1840.53</v>
      </c>
      <c r="F143" s="22"/>
      <c r="G143" s="26">
        <f>1570.53</f>
        <v>1570.53</v>
      </c>
      <c r="H143" s="22"/>
      <c r="I143" s="26">
        <v>1699.31</v>
      </c>
      <c r="J143" s="22">
        <f>129*12+150</f>
        <v>1698</v>
      </c>
      <c r="K143" s="57">
        <v>1585.91</v>
      </c>
      <c r="L143" s="39">
        <v>128.52000000000001</v>
      </c>
      <c r="M143" s="26">
        <f t="shared" si="24"/>
        <v>1714.43</v>
      </c>
      <c r="N143" s="22">
        <v>1700</v>
      </c>
    </row>
    <row r="144" spans="1:15" s="6" customFormat="1" ht="20.100000000000001" customHeight="1" outlineLevel="1" x14ac:dyDescent="0.2">
      <c r="A144" s="1" t="s">
        <v>173</v>
      </c>
      <c r="B144" s="1"/>
      <c r="C144" s="1"/>
      <c r="D144" s="21">
        <v>3510</v>
      </c>
      <c r="E144" s="25">
        <f>SUBTOTAL(9,E142:E143)</f>
        <v>3690.89</v>
      </c>
      <c r="F144" s="21">
        <v>3510</v>
      </c>
      <c r="G144" s="25">
        <f>SUBTOTAL(9,G142:G143)</f>
        <v>3475.66</v>
      </c>
      <c r="H144" s="21">
        <v>2098</v>
      </c>
      <c r="I144" s="25">
        <f>SUBTOTAL(9,I142:I143)</f>
        <v>2374.81</v>
      </c>
      <c r="J144" s="21">
        <f>SUBTOTAL(9,J142:J143)</f>
        <v>1698</v>
      </c>
      <c r="K144" s="13">
        <f>SUBTOTAL(9,K142:K143)</f>
        <v>1585.91</v>
      </c>
      <c r="L144" s="13">
        <f>SUBTOTAL(9,L142:L143)</f>
        <v>128.52000000000001</v>
      </c>
      <c r="M144" s="25">
        <f>+SUM(K144:L144)</f>
        <v>1714.43</v>
      </c>
      <c r="N144" s="21">
        <f>SUBTOTAL(9,N142:N143)</f>
        <v>1700</v>
      </c>
    </row>
    <row r="145" spans="1:15" ht="20.100000000000001" customHeight="1" outlineLevel="2" x14ac:dyDescent="0.2">
      <c r="A145" s="12" t="s">
        <v>141</v>
      </c>
      <c r="B145" s="12">
        <v>652100</v>
      </c>
      <c r="C145" s="12" t="s">
        <v>140</v>
      </c>
      <c r="D145" s="22"/>
      <c r="E145" s="26">
        <f>2111.83</f>
        <v>2111.83</v>
      </c>
      <c r="F145" s="22"/>
      <c r="G145" s="26">
        <f>5600.84</f>
        <v>5600.84</v>
      </c>
      <c r="H145" s="22"/>
      <c r="I145" s="26">
        <v>7050.85</v>
      </c>
      <c r="J145" s="22">
        <v>5000</v>
      </c>
      <c r="K145" s="57">
        <v>4200.29</v>
      </c>
      <c r="L145" s="39">
        <v>500</v>
      </c>
      <c r="M145" s="26">
        <f>+SUM(K145:L145)</f>
        <v>4700.29</v>
      </c>
      <c r="N145" s="22">
        <v>5000</v>
      </c>
    </row>
    <row r="146" spans="1:15" s="6" customFormat="1" ht="20.100000000000001" customHeight="1" outlineLevel="1" x14ac:dyDescent="0.2">
      <c r="A146" s="1" t="s">
        <v>176</v>
      </c>
      <c r="B146" s="1"/>
      <c r="C146" s="1"/>
      <c r="D146" s="21">
        <v>15000</v>
      </c>
      <c r="E146" s="25">
        <f>SUBTOTAL(9,E145:E145)</f>
        <v>2111.83</v>
      </c>
      <c r="F146" s="21">
        <v>15000</v>
      </c>
      <c r="G146" s="25">
        <f>SUBTOTAL(9,G145:G145)</f>
        <v>5600.84</v>
      </c>
      <c r="H146" s="21">
        <v>3500</v>
      </c>
      <c r="I146" s="25">
        <f>SUBTOTAL(9,I145:I145)</f>
        <v>7050.85</v>
      </c>
      <c r="J146" s="21">
        <f>SUBTOTAL(9,J145:J145)</f>
        <v>5000</v>
      </c>
      <c r="K146" s="13">
        <f>SUBTOTAL(9,K145:K145)</f>
        <v>4200.29</v>
      </c>
      <c r="L146" s="13">
        <f>SUBTOTAL(9,L145:L145)</f>
        <v>500</v>
      </c>
      <c r="M146" s="25">
        <f>+SUM(K146:L146)</f>
        <v>4700.29</v>
      </c>
      <c r="N146" s="21">
        <f>SUBTOTAL(9,N145:N145)</f>
        <v>5000</v>
      </c>
    </row>
    <row r="147" spans="1:15" ht="20.100000000000001" customHeight="1" outlineLevel="2" x14ac:dyDescent="0.2">
      <c r="A147" s="12" t="s">
        <v>142</v>
      </c>
      <c r="B147" s="12">
        <v>652200</v>
      </c>
      <c r="C147" s="12" t="s">
        <v>182</v>
      </c>
      <c r="D147" s="22"/>
      <c r="E147" s="26"/>
      <c r="F147" s="22"/>
      <c r="G147" s="26"/>
      <c r="H147" s="22"/>
      <c r="I147" s="26">
        <f>69823.78-20495-22495</f>
        <v>26833.78</v>
      </c>
      <c r="J147" s="22"/>
      <c r="K147" s="57">
        <v>20544.919999999998</v>
      </c>
      <c r="L147" s="39">
        <v>0</v>
      </c>
      <c r="M147" s="26">
        <f t="shared" ref="M147:M148" si="25">+SUM(K147:L147)</f>
        <v>20544.919999999998</v>
      </c>
      <c r="N147" s="22"/>
    </row>
    <row r="148" spans="1:15" ht="20.100000000000001" customHeight="1" outlineLevel="2" x14ac:dyDescent="0.2">
      <c r="A148" s="12" t="s">
        <v>142</v>
      </c>
      <c r="B148" s="12">
        <v>850000</v>
      </c>
      <c r="C148" s="12" t="s">
        <v>183</v>
      </c>
      <c r="D148" s="22"/>
      <c r="E148" s="26">
        <f>53214.7</f>
        <v>53214.7</v>
      </c>
      <c r="F148" s="22"/>
      <c r="G148" s="26">
        <f>13688.11</f>
        <v>13688.11</v>
      </c>
      <c r="H148" s="22"/>
      <c r="I148" s="26">
        <v>10382.66</v>
      </c>
      <c r="J148" s="22"/>
      <c r="K148" s="57">
        <v>94751.38</v>
      </c>
      <c r="L148" s="39">
        <v>0</v>
      </c>
      <c r="M148" s="26">
        <f t="shared" si="25"/>
        <v>94751.38</v>
      </c>
      <c r="N148" s="22"/>
    </row>
    <row r="149" spans="1:15" s="6" customFormat="1" ht="20.100000000000001" customHeight="1" outlineLevel="1" x14ac:dyDescent="0.2">
      <c r="A149" s="1" t="s">
        <v>162</v>
      </c>
      <c r="B149" s="1"/>
      <c r="C149" s="1"/>
      <c r="D149" s="21">
        <v>25000</v>
      </c>
      <c r="E149" s="25">
        <f>SUBTOTAL(9,E148:E148)</f>
        <v>53214.7</v>
      </c>
      <c r="F149" s="21">
        <v>25000</v>
      </c>
      <c r="G149" s="25">
        <f>SUBTOTAL(9,G148:G148)</f>
        <v>13688.11</v>
      </c>
      <c r="H149" s="21">
        <v>12000</v>
      </c>
      <c r="I149" s="25">
        <f>SUBTOTAL(9,I148:I148)</f>
        <v>10382.66</v>
      </c>
      <c r="J149" s="21">
        <f>SUBTOTAL(9,J148:J148)</f>
        <v>0</v>
      </c>
      <c r="K149" s="13">
        <f>SUBTOTAL(9,K148:K148)</f>
        <v>94751.38</v>
      </c>
      <c r="L149" s="13">
        <f>SUBTOTAL(9,L148:L148)</f>
        <v>0</v>
      </c>
      <c r="M149" s="25">
        <f>+SUM(K149:L149)</f>
        <v>94751.38</v>
      </c>
      <c r="N149" s="21">
        <f>SUBTOTAL(9,N148:N148)</f>
        <v>0</v>
      </c>
    </row>
    <row r="150" spans="1:15" ht="20.100000000000001" customHeight="1" outlineLevel="2" x14ac:dyDescent="0.2">
      <c r="A150" s="12" t="s">
        <v>135</v>
      </c>
      <c r="B150" s="12">
        <v>624110</v>
      </c>
      <c r="C150" s="12" t="s">
        <v>298</v>
      </c>
      <c r="D150" s="22"/>
      <c r="E150" s="26">
        <f>3209.19</f>
        <v>3209.19</v>
      </c>
      <c r="F150" s="22"/>
      <c r="G150" s="26">
        <f>1252.14</f>
        <v>1252.1400000000001</v>
      </c>
      <c r="H150" s="22"/>
      <c r="I150" s="26">
        <v>3276.6</v>
      </c>
      <c r="J150" s="22">
        <v>3500</v>
      </c>
      <c r="K150" s="57">
        <v>6110.68</v>
      </c>
      <c r="L150" s="39">
        <v>1000</v>
      </c>
      <c r="M150" s="26">
        <f t="shared" ref="M150:M151" si="26">+SUM(K150:L150)</f>
        <v>7110.68</v>
      </c>
      <c r="N150" s="22">
        <v>3500</v>
      </c>
    </row>
    <row r="151" spans="1:15" ht="20.100000000000001" customHeight="1" outlineLevel="2" x14ac:dyDescent="0.2">
      <c r="A151" s="12" t="s">
        <v>135</v>
      </c>
      <c r="B151" s="12">
        <v>639700</v>
      </c>
      <c r="C151" s="12" t="s">
        <v>299</v>
      </c>
      <c r="D151" s="22"/>
      <c r="E151" s="26">
        <v>3021.75</v>
      </c>
      <c r="F151" s="22"/>
      <c r="G151" s="26"/>
      <c r="H151" s="22"/>
      <c r="I151" s="26">
        <v>1986.25</v>
      </c>
      <c r="J151" s="22">
        <v>3000</v>
      </c>
      <c r="K151" s="57">
        <v>595</v>
      </c>
      <c r="L151" s="39">
        <v>250</v>
      </c>
      <c r="M151" s="26">
        <f t="shared" si="26"/>
        <v>845</v>
      </c>
      <c r="N151" s="22">
        <v>1500</v>
      </c>
    </row>
    <row r="152" spans="1:15" s="6" customFormat="1" ht="20.100000000000001" customHeight="1" outlineLevel="1" x14ac:dyDescent="0.2">
      <c r="A152" s="1" t="s">
        <v>160</v>
      </c>
      <c r="B152" s="1"/>
      <c r="C152" s="1"/>
      <c r="D152" s="21">
        <v>5500</v>
      </c>
      <c r="E152" s="25">
        <f>SUBTOTAL(9,E150:E151)</f>
        <v>6230.9400000000005</v>
      </c>
      <c r="F152" s="21">
        <v>5500</v>
      </c>
      <c r="G152" s="25">
        <f>SUBTOTAL(9,G150:G151)</f>
        <v>1252.1400000000001</v>
      </c>
      <c r="H152" s="21">
        <v>5500</v>
      </c>
      <c r="I152" s="25">
        <f>SUBTOTAL(9,I150:I151)</f>
        <v>5262.85</v>
      </c>
      <c r="J152" s="21">
        <f>SUBTOTAL(9,J150:J151)</f>
        <v>6500</v>
      </c>
      <c r="K152" s="13">
        <f>SUBTOTAL(9,K150:K151)</f>
        <v>6705.68</v>
      </c>
      <c r="L152" s="13">
        <f>SUBTOTAL(9,L150:L151)</f>
        <v>1250</v>
      </c>
      <c r="M152" s="25">
        <f>+SUM(K152:L152)</f>
        <v>7955.68</v>
      </c>
      <c r="N152" s="21">
        <f>SUBTOTAL(9,N150:N151)</f>
        <v>5000</v>
      </c>
    </row>
    <row r="153" spans="1:15" ht="20.100000000000001" customHeight="1" outlineLevel="2" x14ac:dyDescent="0.2">
      <c r="A153" s="12" t="s">
        <v>134</v>
      </c>
      <c r="B153" s="12">
        <v>631600</v>
      </c>
      <c r="C153" s="12" t="s">
        <v>285</v>
      </c>
      <c r="D153" s="22"/>
      <c r="E153" s="26">
        <f>471.73</f>
        <v>471.73</v>
      </c>
      <c r="F153" s="22"/>
      <c r="G153" s="26">
        <f>78.4</f>
        <v>78.400000000000006</v>
      </c>
      <c r="H153" s="22"/>
      <c r="I153" s="26">
        <v>171</v>
      </c>
      <c r="J153" s="22">
        <v>500</v>
      </c>
      <c r="K153" s="57">
        <v>474.04</v>
      </c>
      <c r="L153" s="39">
        <v>225</v>
      </c>
      <c r="M153" s="26">
        <f t="shared" ref="M153:M168" si="27">+SUM(K153:L153)</f>
        <v>699.04</v>
      </c>
      <c r="N153" s="22">
        <f>225*12</f>
        <v>2700</v>
      </c>
      <c r="O153" s="2" t="s">
        <v>260</v>
      </c>
    </row>
    <row r="154" spans="1:15" ht="20.100000000000001" customHeight="1" outlineLevel="2" x14ac:dyDescent="0.2">
      <c r="A154" s="12" t="s">
        <v>134</v>
      </c>
      <c r="B154" s="12">
        <v>631800</v>
      </c>
      <c r="C154" s="12" t="s">
        <v>286</v>
      </c>
      <c r="D154" s="22"/>
      <c r="E154" s="26">
        <f>1859.26</f>
        <v>1859.26</v>
      </c>
      <c r="F154" s="22"/>
      <c r="G154" s="26">
        <f>368.33</f>
        <v>368.33</v>
      </c>
      <c r="H154" s="22"/>
      <c r="I154" s="26">
        <v>879.21</v>
      </c>
      <c r="J154" s="22">
        <v>500</v>
      </c>
      <c r="K154" s="57">
        <v>1269.6400000000001</v>
      </c>
      <c r="L154" s="39">
        <v>0</v>
      </c>
      <c r="M154" s="26">
        <f t="shared" si="27"/>
        <v>1269.6400000000001</v>
      </c>
      <c r="N154" s="22">
        <v>1000</v>
      </c>
    </row>
    <row r="155" spans="1:15" ht="20.100000000000001" customHeight="1" outlineLevel="2" x14ac:dyDescent="0.2">
      <c r="A155" s="12" t="s">
        <v>134</v>
      </c>
      <c r="B155" s="12">
        <v>634120</v>
      </c>
      <c r="C155" s="12" t="s">
        <v>287</v>
      </c>
      <c r="D155" s="22"/>
      <c r="E155" s="26">
        <f>34.61</f>
        <v>34.61</v>
      </c>
      <c r="F155" s="22"/>
      <c r="G155" s="26"/>
      <c r="H155" s="22"/>
      <c r="I155" s="26">
        <v>0</v>
      </c>
      <c r="J155" s="22"/>
      <c r="K155" s="57">
        <v>0</v>
      </c>
      <c r="L155" s="39">
        <v>0</v>
      </c>
      <c r="M155" s="26">
        <f t="shared" si="27"/>
        <v>0</v>
      </c>
      <c r="N155" s="22">
        <v>0</v>
      </c>
    </row>
    <row r="156" spans="1:15" ht="20.100000000000001" customHeight="1" outlineLevel="2" x14ac:dyDescent="0.2">
      <c r="A156" s="12" t="s">
        <v>134</v>
      </c>
      <c r="B156" s="12">
        <v>636100</v>
      </c>
      <c r="C156" s="12" t="s">
        <v>288</v>
      </c>
      <c r="D156" s="22"/>
      <c r="E156" s="26">
        <v>3253.92</v>
      </c>
      <c r="F156" s="22"/>
      <c r="G156" s="26">
        <f>1312.9</f>
        <v>1312.9</v>
      </c>
      <c r="H156" s="22"/>
      <c r="I156" s="26">
        <v>2097.35</v>
      </c>
      <c r="J156" s="22">
        <v>1300</v>
      </c>
      <c r="K156" s="57">
        <v>2072.1999999999998</v>
      </c>
      <c r="L156" s="39">
        <v>600</v>
      </c>
      <c r="M156" s="26">
        <f t="shared" si="27"/>
        <v>2672.2</v>
      </c>
      <c r="N156" s="22">
        <v>2600</v>
      </c>
    </row>
    <row r="157" spans="1:15" ht="20.100000000000001" customHeight="1" outlineLevel="2" x14ac:dyDescent="0.2">
      <c r="A157" s="12" t="s">
        <v>134</v>
      </c>
      <c r="B157" s="12">
        <v>636741</v>
      </c>
      <c r="C157" s="12" t="s">
        <v>289</v>
      </c>
      <c r="D157" s="22"/>
      <c r="E157" s="26">
        <v>0</v>
      </c>
      <c r="F157" s="22"/>
      <c r="G157" s="26">
        <f>360</f>
        <v>360</v>
      </c>
      <c r="H157" s="22"/>
      <c r="I157" s="26">
        <v>315</v>
      </c>
      <c r="J157" s="22">
        <f>180*3</f>
        <v>540</v>
      </c>
      <c r="K157" s="57">
        <v>0</v>
      </c>
      <c r="L157" s="39"/>
      <c r="M157" s="26">
        <f t="shared" si="27"/>
        <v>0</v>
      </c>
      <c r="N157" s="22">
        <v>160</v>
      </c>
      <c r="O157" s="2" t="s">
        <v>261</v>
      </c>
    </row>
    <row r="158" spans="1:15" ht="20.100000000000001" customHeight="1" outlineLevel="2" x14ac:dyDescent="0.2">
      <c r="A158" s="12" t="s">
        <v>134</v>
      </c>
      <c r="B158" s="12">
        <v>637100</v>
      </c>
      <c r="C158" s="12" t="s">
        <v>290</v>
      </c>
      <c r="D158" s="22"/>
      <c r="E158" s="26">
        <f>6724.38</f>
        <v>6724.38</v>
      </c>
      <c r="F158" s="22"/>
      <c r="G158" s="26">
        <f>435.6</f>
        <v>435.6</v>
      </c>
      <c r="H158" s="22"/>
      <c r="I158" s="26">
        <v>1306.0899999999999</v>
      </c>
      <c r="J158" s="22">
        <v>0</v>
      </c>
      <c r="K158" s="57">
        <f>14963.93</f>
        <v>14963.93</v>
      </c>
      <c r="L158" s="39">
        <v>0</v>
      </c>
      <c r="M158" s="26">
        <f t="shared" si="27"/>
        <v>14963.93</v>
      </c>
      <c r="N158" s="22">
        <v>1500</v>
      </c>
      <c r="O158" s="2" t="s">
        <v>259</v>
      </c>
    </row>
    <row r="159" spans="1:15" ht="20.100000000000001" customHeight="1" outlineLevel="2" x14ac:dyDescent="0.2">
      <c r="A159" s="12" t="s">
        <v>134</v>
      </c>
      <c r="B159" s="12">
        <v>637740</v>
      </c>
      <c r="C159" s="12" t="s">
        <v>128</v>
      </c>
      <c r="D159" s="22"/>
      <c r="E159" s="26">
        <f>20</f>
        <v>20</v>
      </c>
      <c r="F159" s="22"/>
      <c r="G159" s="26">
        <f>0</f>
        <v>0</v>
      </c>
      <c r="H159" s="22"/>
      <c r="I159" s="26">
        <v>265.32</v>
      </c>
      <c r="J159" s="22">
        <f>21*12</f>
        <v>252</v>
      </c>
      <c r="K159" s="57">
        <v>43.5</v>
      </c>
      <c r="L159" s="39"/>
      <c r="M159" s="26">
        <f t="shared" si="27"/>
        <v>43.5</v>
      </c>
      <c r="N159" s="22">
        <v>100</v>
      </c>
      <c r="O159" s="2" t="s">
        <v>221</v>
      </c>
    </row>
    <row r="160" spans="1:15" ht="20.100000000000001" customHeight="1" outlineLevel="2" x14ac:dyDescent="0.2">
      <c r="A160" s="12" t="s">
        <v>134</v>
      </c>
      <c r="B160" s="12">
        <v>637750</v>
      </c>
      <c r="C160" s="12" t="s">
        <v>129</v>
      </c>
      <c r="D160" s="22"/>
      <c r="E160" s="26">
        <f>2</f>
        <v>2</v>
      </c>
      <c r="F160" s="22"/>
      <c r="G160" s="26"/>
      <c r="H160" s="22"/>
      <c r="I160" s="26">
        <v>0</v>
      </c>
      <c r="J160" s="22">
        <v>0</v>
      </c>
      <c r="K160" s="57">
        <v>0</v>
      </c>
      <c r="L160" s="39">
        <v>0</v>
      </c>
      <c r="M160" s="26">
        <f t="shared" si="27"/>
        <v>0</v>
      </c>
      <c r="N160" s="22">
        <v>0</v>
      </c>
    </row>
    <row r="161" spans="1:14" ht="20.100000000000001" customHeight="1" outlineLevel="2" x14ac:dyDescent="0.2">
      <c r="A161" s="12" t="s">
        <v>134</v>
      </c>
      <c r="B161" s="12">
        <v>637900</v>
      </c>
      <c r="C161" s="12" t="s">
        <v>51</v>
      </c>
      <c r="D161" s="22"/>
      <c r="E161" s="26">
        <f>23.28</f>
        <v>23.28</v>
      </c>
      <c r="F161" s="22"/>
      <c r="G161" s="26">
        <f>47.69</f>
        <v>47.69</v>
      </c>
      <c r="H161" s="22"/>
      <c r="I161" s="26">
        <v>294.61</v>
      </c>
      <c r="J161" s="22">
        <v>0</v>
      </c>
      <c r="K161" s="57">
        <v>7.93</v>
      </c>
      <c r="L161" s="39">
        <v>0</v>
      </c>
      <c r="M161" s="26">
        <f t="shared" si="27"/>
        <v>7.93</v>
      </c>
      <c r="N161" s="22">
        <v>0</v>
      </c>
    </row>
    <row r="162" spans="1:14" ht="20.100000000000001" customHeight="1" outlineLevel="2" x14ac:dyDescent="0.2">
      <c r="A162" s="12" t="s">
        <v>134</v>
      </c>
      <c r="B162" s="12">
        <v>638100</v>
      </c>
      <c r="C162" s="12" t="s">
        <v>291</v>
      </c>
      <c r="D162" s="22"/>
      <c r="E162" s="26">
        <f>1126.89</f>
        <v>1126.8900000000001</v>
      </c>
      <c r="F162" s="22"/>
      <c r="G162" s="26"/>
      <c r="H162" s="22"/>
      <c r="I162" s="26">
        <v>182.41</v>
      </c>
      <c r="J162" s="22">
        <v>0</v>
      </c>
      <c r="K162" s="57">
        <v>814.41</v>
      </c>
      <c r="L162" s="39">
        <v>0</v>
      </c>
      <c r="M162" s="26">
        <f t="shared" si="27"/>
        <v>814.41</v>
      </c>
      <c r="N162" s="22">
        <v>0</v>
      </c>
    </row>
    <row r="163" spans="1:14" ht="20.100000000000001" customHeight="1" outlineLevel="2" x14ac:dyDescent="0.2">
      <c r="A163" s="12" t="s">
        <v>134</v>
      </c>
      <c r="B163" s="12">
        <v>638200</v>
      </c>
      <c r="C163" s="12" t="s">
        <v>292</v>
      </c>
      <c r="D163" s="22"/>
      <c r="E163" s="26">
        <v>0</v>
      </c>
      <c r="F163" s="22"/>
      <c r="G163" s="26">
        <f>1346.64</f>
        <v>1346.64</v>
      </c>
      <c r="H163" s="22"/>
      <c r="I163" s="26">
        <v>1413.4</v>
      </c>
      <c r="J163" s="22">
        <v>0</v>
      </c>
      <c r="K163" s="57">
        <v>1574.13</v>
      </c>
      <c r="L163" s="39"/>
      <c r="M163" s="26">
        <f t="shared" si="27"/>
        <v>1574.13</v>
      </c>
      <c r="N163" s="22">
        <v>1600</v>
      </c>
    </row>
    <row r="164" spans="1:14" ht="20.100000000000001" customHeight="1" outlineLevel="2" x14ac:dyDescent="0.2">
      <c r="A164" s="12" t="s">
        <v>134</v>
      </c>
      <c r="B164" s="12">
        <v>650100</v>
      </c>
      <c r="C164" s="12" t="s">
        <v>293</v>
      </c>
      <c r="D164" s="22"/>
      <c r="E164" s="26">
        <f>3414.36</f>
        <v>3414.36</v>
      </c>
      <c r="F164" s="22"/>
      <c r="G164" s="26">
        <f>1448.21</f>
        <v>1448.21</v>
      </c>
      <c r="H164" s="22"/>
      <c r="I164" s="26">
        <v>1522.95</v>
      </c>
      <c r="J164" s="22">
        <v>1550</v>
      </c>
      <c r="K164" s="57">
        <v>1522.95</v>
      </c>
      <c r="L164" s="39">
        <v>0</v>
      </c>
      <c r="M164" s="26">
        <f t="shared" si="27"/>
        <v>1522.95</v>
      </c>
      <c r="N164" s="22">
        <v>1525</v>
      </c>
    </row>
    <row r="165" spans="1:14" ht="20.100000000000001" customHeight="1" outlineLevel="2" x14ac:dyDescent="0.2">
      <c r="A165" s="12" t="s">
        <v>134</v>
      </c>
      <c r="B165" s="12">
        <v>680100</v>
      </c>
      <c r="C165" s="12" t="s">
        <v>294</v>
      </c>
      <c r="D165" s="22"/>
      <c r="E165" s="26"/>
      <c r="F165" s="22"/>
      <c r="G165" s="26"/>
      <c r="H165" s="22"/>
      <c r="I165" s="26"/>
      <c r="J165" s="22">
        <v>0</v>
      </c>
      <c r="K165" s="57">
        <v>500</v>
      </c>
      <c r="L165" s="39">
        <v>0</v>
      </c>
      <c r="M165" s="26">
        <f t="shared" si="27"/>
        <v>500</v>
      </c>
      <c r="N165" s="22"/>
    </row>
    <row r="166" spans="1:14" ht="20.100000000000001" customHeight="1" outlineLevel="2" x14ac:dyDescent="0.2">
      <c r="A166" s="12" t="s">
        <v>134</v>
      </c>
      <c r="B166" s="12">
        <v>699000</v>
      </c>
      <c r="C166" s="12" t="s">
        <v>295</v>
      </c>
      <c r="D166" s="22"/>
      <c r="E166" s="26">
        <v>1245.0999999999999</v>
      </c>
      <c r="F166" s="22"/>
      <c r="G166" s="26">
        <f>904.8</f>
        <v>904.8</v>
      </c>
      <c r="H166" s="22"/>
      <c r="I166" s="26">
        <v>3193.74</v>
      </c>
      <c r="J166" s="22">
        <v>500</v>
      </c>
      <c r="K166" s="57">
        <v>1848.65</v>
      </c>
      <c r="L166" s="39">
        <v>100</v>
      </c>
      <c r="M166" s="26">
        <f t="shared" si="27"/>
        <v>1948.65</v>
      </c>
      <c r="N166" s="22">
        <v>500</v>
      </c>
    </row>
    <row r="167" spans="1:14" ht="20.100000000000001" customHeight="1" outlineLevel="2" x14ac:dyDescent="0.2">
      <c r="A167" s="12" t="s">
        <v>134</v>
      </c>
      <c r="B167" s="12">
        <v>699100</v>
      </c>
      <c r="C167" s="12" t="s">
        <v>296</v>
      </c>
      <c r="D167" s="22"/>
      <c r="E167" s="26">
        <f>764.28</f>
        <v>764.28</v>
      </c>
      <c r="F167" s="22"/>
      <c r="G167" s="26"/>
      <c r="H167" s="22"/>
      <c r="I167" s="26">
        <v>0</v>
      </c>
      <c r="J167" s="22"/>
      <c r="K167" s="57">
        <v>11343.69</v>
      </c>
      <c r="L167" s="39">
        <v>0</v>
      </c>
      <c r="M167" s="26">
        <f t="shared" si="27"/>
        <v>11343.69</v>
      </c>
      <c r="N167" s="22"/>
    </row>
    <row r="168" spans="1:14" ht="20.100000000000001" customHeight="1" outlineLevel="2" x14ac:dyDescent="0.2">
      <c r="A168" s="12" t="s">
        <v>134</v>
      </c>
      <c r="B168" s="12">
        <v>761000</v>
      </c>
      <c r="C168" s="12" t="s">
        <v>297</v>
      </c>
      <c r="D168" s="22"/>
      <c r="E168" s="26"/>
      <c r="F168" s="22"/>
      <c r="G168" s="26"/>
      <c r="H168" s="22"/>
      <c r="I168" s="26"/>
      <c r="J168" s="22"/>
      <c r="K168" s="57">
        <v>12889.02</v>
      </c>
      <c r="L168" s="39">
        <v>0</v>
      </c>
      <c r="M168" s="26">
        <f t="shared" si="27"/>
        <v>12889.02</v>
      </c>
      <c r="N168" s="22">
        <v>12890</v>
      </c>
    </row>
    <row r="169" spans="1:14" s="6" customFormat="1" ht="20.100000000000001" customHeight="1" outlineLevel="1" thickBot="1" x14ac:dyDescent="0.25">
      <c r="A169" s="1" t="s">
        <v>161</v>
      </c>
      <c r="B169" s="1"/>
      <c r="C169" s="1"/>
      <c r="D169" s="29">
        <v>7775</v>
      </c>
      <c r="E169" s="30">
        <f>SUBTOTAL(9,E153:E168)</f>
        <v>18939.809999999998</v>
      </c>
      <c r="F169" s="29">
        <v>7775</v>
      </c>
      <c r="G169" s="30">
        <f>SUBTOTAL(9,G153:G168)</f>
        <v>6302.5700000000006</v>
      </c>
      <c r="H169" s="29">
        <v>4135</v>
      </c>
      <c r="I169" s="30">
        <f>SUBTOTAL(9,I153:I168)</f>
        <v>11641.08</v>
      </c>
      <c r="J169" s="29">
        <f>SUBTOTAL(9,J153:J168)</f>
        <v>5142</v>
      </c>
      <c r="K169" s="40">
        <f>SUBTOTAL(9,K153:K168)</f>
        <v>49324.090000000011</v>
      </c>
      <c r="L169" s="40">
        <f>SUBTOTAL(9,L153:L168)</f>
        <v>925</v>
      </c>
      <c r="M169" s="30">
        <f>+SUM(K169:L169)</f>
        <v>50249.090000000011</v>
      </c>
      <c r="N169" s="29">
        <f>SUBTOTAL(9,N153:N168)</f>
        <v>24575</v>
      </c>
    </row>
    <row r="170" spans="1:14" s="6" customFormat="1" ht="20.100000000000001" customHeight="1" x14ac:dyDescent="0.2">
      <c r="A170" s="1" t="s">
        <v>2</v>
      </c>
      <c r="B170" s="1"/>
      <c r="C170" s="55"/>
      <c r="D170" s="21">
        <f t="shared" ref="D170:L170" si="28">SUBTOTAL(9,D64:D169)</f>
        <v>750040</v>
      </c>
      <c r="E170" s="25">
        <f t="shared" si="28"/>
        <v>872579.59</v>
      </c>
      <c r="F170" s="21">
        <f t="shared" si="28"/>
        <v>750040</v>
      </c>
      <c r="G170" s="25">
        <f t="shared" si="28"/>
        <v>803090.67</v>
      </c>
      <c r="H170" s="21">
        <f t="shared" si="28"/>
        <v>842995.41999999993</v>
      </c>
      <c r="I170" s="25">
        <f t="shared" si="28"/>
        <v>1001757.3049999999</v>
      </c>
      <c r="J170" s="21">
        <f t="shared" si="28"/>
        <v>918784</v>
      </c>
      <c r="K170" s="13">
        <f t="shared" si="28"/>
        <v>1110772.2899999989</v>
      </c>
      <c r="L170" s="13">
        <f t="shared" si="28"/>
        <v>112343.57490909091</v>
      </c>
      <c r="M170" s="25">
        <f>+SUM(K170:L170)</f>
        <v>1223115.8649090899</v>
      </c>
      <c r="N170" s="21">
        <f>SUBTOTAL(9,N64:N169)</f>
        <v>1198132</v>
      </c>
    </row>
    <row r="171" spans="1:14" ht="20.100000000000001" customHeight="1" x14ac:dyDescent="0.2">
      <c r="D171" s="23"/>
      <c r="E171" s="27"/>
      <c r="F171" s="23"/>
      <c r="G171" s="27"/>
      <c r="H171" s="23"/>
      <c r="I171" s="27"/>
      <c r="J171" s="23"/>
      <c r="K171" s="8"/>
      <c r="L171" s="8"/>
      <c r="M171" s="27"/>
      <c r="N171" s="23"/>
    </row>
    <row r="172" spans="1:14" s="6" customFormat="1" ht="20.100000000000001" customHeight="1" thickBot="1" x14ac:dyDescent="0.25">
      <c r="A172" s="6" t="s">
        <v>177</v>
      </c>
      <c r="D172" s="32">
        <f t="shared" ref="D172:N172" si="29">+D61-D170</f>
        <v>7260</v>
      </c>
      <c r="E172" s="33">
        <f t="shared" si="29"/>
        <v>-101213.3600000001</v>
      </c>
      <c r="F172" s="32">
        <f t="shared" si="29"/>
        <v>7260</v>
      </c>
      <c r="G172" s="33">
        <f t="shared" si="29"/>
        <v>76632.430000000168</v>
      </c>
      <c r="H172" s="32">
        <f t="shared" si="29"/>
        <v>-22495.419999999925</v>
      </c>
      <c r="I172" s="33">
        <f t="shared" si="29"/>
        <v>439722.49500000034</v>
      </c>
      <c r="J172" s="32">
        <f t="shared" si="29"/>
        <v>0</v>
      </c>
      <c r="K172" s="41">
        <f t="shared" si="29"/>
        <v>172796.71000000136</v>
      </c>
      <c r="L172" s="41">
        <f t="shared" si="29"/>
        <v>-15039.884909090906</v>
      </c>
      <c r="M172" s="33">
        <f t="shared" si="29"/>
        <v>157756.82509091031</v>
      </c>
      <c r="N172" s="32">
        <f t="shared" si="29"/>
        <v>-17237</v>
      </c>
    </row>
    <row r="173" spans="1:14" ht="20.100000000000001" customHeight="1" thickTop="1" x14ac:dyDescent="0.2">
      <c r="D173" s="8"/>
      <c r="E173" s="8"/>
      <c r="F173" s="5"/>
      <c r="G173" s="5"/>
      <c r="H173" s="5"/>
      <c r="J173" s="8"/>
      <c r="K173" s="8"/>
      <c r="L173" s="8"/>
      <c r="M173" s="8"/>
      <c r="N173" s="8"/>
    </row>
    <row r="174" spans="1:14" ht="20.100000000000001" customHeight="1" x14ac:dyDescent="0.2">
      <c r="D174" s="8"/>
      <c r="E174" s="8"/>
      <c r="F174" s="5"/>
      <c r="G174" s="5"/>
      <c r="H174" s="5"/>
      <c r="J174" s="8"/>
      <c r="K174" s="8"/>
      <c r="L174" s="8"/>
      <c r="M174" s="8"/>
      <c r="N174" s="8"/>
    </row>
    <row r="175" spans="1:14" ht="20.100000000000001" customHeight="1" x14ac:dyDescent="0.2">
      <c r="D175" s="8"/>
      <c r="E175" s="8"/>
      <c r="F175" s="5"/>
      <c r="G175" s="5"/>
      <c r="H175" s="5"/>
      <c r="J175" s="8"/>
      <c r="K175" s="8"/>
      <c r="L175" s="8"/>
      <c r="M175" s="8"/>
      <c r="N175" s="8"/>
    </row>
    <row r="176" spans="1:14" ht="20.100000000000001" customHeight="1" x14ac:dyDescent="0.2">
      <c r="D176" s="8"/>
      <c r="E176" s="8"/>
      <c r="F176" s="5"/>
      <c r="G176" s="5"/>
      <c r="H176" s="5"/>
      <c r="J176" s="8"/>
      <c r="K176" s="8"/>
      <c r="L176" s="8"/>
      <c r="M176" s="8"/>
      <c r="N176" s="8"/>
    </row>
    <row r="177" spans="4:14" ht="20.100000000000001" customHeight="1" x14ac:dyDescent="0.2">
      <c r="D177" s="8"/>
      <c r="E177" s="8"/>
      <c r="F177" s="5"/>
      <c r="G177" s="5"/>
      <c r="H177" s="5"/>
      <c r="J177" s="8"/>
      <c r="K177" s="8"/>
      <c r="L177" s="8"/>
      <c r="M177" s="8"/>
      <c r="N177" s="8"/>
    </row>
    <row r="178" spans="4:14" ht="20.100000000000001" customHeight="1" x14ac:dyDescent="0.2">
      <c r="D178" s="8"/>
      <c r="E178" s="8"/>
      <c r="F178" s="5"/>
      <c r="G178" s="5"/>
      <c r="H178" s="5"/>
      <c r="J178" s="8"/>
      <c r="K178" s="8"/>
      <c r="L178" s="8"/>
      <c r="M178" s="8"/>
      <c r="N178" s="8"/>
    </row>
    <row r="179" spans="4:14" ht="20.100000000000001" customHeight="1" x14ac:dyDescent="0.2">
      <c r="D179" s="8"/>
      <c r="E179" s="8"/>
      <c r="F179" s="5"/>
      <c r="G179" s="5"/>
      <c r="H179" s="5"/>
      <c r="J179" s="8"/>
      <c r="K179" s="8"/>
      <c r="L179" s="8"/>
      <c r="M179" s="8"/>
      <c r="N179" s="8"/>
    </row>
    <row r="180" spans="4:14" ht="20.100000000000001" customHeight="1" x14ac:dyDescent="0.2">
      <c r="D180" s="8"/>
      <c r="E180" s="8"/>
      <c r="F180" s="5"/>
      <c r="G180" s="5"/>
      <c r="H180" s="5"/>
      <c r="J180" s="8"/>
      <c r="K180" s="8"/>
      <c r="L180" s="8"/>
      <c r="M180" s="8"/>
      <c r="N180" s="8"/>
    </row>
    <row r="181" spans="4:14" ht="20.100000000000001" customHeight="1" x14ac:dyDescent="0.2">
      <c r="D181" s="8"/>
      <c r="E181" s="8"/>
      <c r="F181" s="5"/>
      <c r="G181" s="5"/>
      <c r="H181" s="5"/>
      <c r="J181" s="8"/>
      <c r="K181" s="8"/>
      <c r="L181" s="8"/>
      <c r="M181" s="8"/>
      <c r="N181" s="8"/>
    </row>
    <row r="182" spans="4:14" ht="20.100000000000001" customHeight="1" x14ac:dyDescent="0.2">
      <c r="D182" s="8"/>
      <c r="E182" s="8"/>
      <c r="F182" s="5"/>
      <c r="G182" s="5"/>
      <c r="H182" s="5"/>
      <c r="J182" s="8"/>
      <c r="K182" s="8"/>
      <c r="L182" s="8"/>
      <c r="M182" s="8"/>
      <c r="N182" s="8"/>
    </row>
    <row r="183" spans="4:14" ht="20.100000000000001" customHeight="1" x14ac:dyDescent="0.2">
      <c r="D183" s="8"/>
      <c r="E183" s="8"/>
      <c r="F183" s="5"/>
      <c r="G183" s="5"/>
      <c r="H183" s="5"/>
      <c r="J183" s="8"/>
      <c r="K183" s="8"/>
      <c r="L183" s="8"/>
      <c r="M183" s="8"/>
      <c r="N183" s="8"/>
    </row>
    <row r="184" spans="4:14" ht="20.100000000000001" customHeight="1" x14ac:dyDescent="0.2">
      <c r="D184" s="8"/>
      <c r="E184" s="8"/>
      <c r="F184" s="5"/>
      <c r="G184" s="5"/>
      <c r="H184" s="5"/>
      <c r="J184" s="8"/>
      <c r="K184" s="8"/>
      <c r="L184" s="8"/>
      <c r="M184" s="8"/>
      <c r="N184" s="8"/>
    </row>
    <row r="185" spans="4:14" ht="20.100000000000001" customHeight="1" x14ac:dyDescent="0.2">
      <c r="D185" s="8"/>
      <c r="E185" s="8"/>
      <c r="F185" s="5"/>
      <c r="G185" s="5"/>
      <c r="H185" s="5"/>
      <c r="J185" s="8"/>
      <c r="K185" s="8"/>
      <c r="L185" s="8"/>
      <c r="M185" s="8"/>
      <c r="N185" s="8"/>
    </row>
    <row r="186" spans="4:14" ht="20.100000000000001" customHeight="1" x14ac:dyDescent="0.2">
      <c r="D186" s="8"/>
      <c r="E186" s="8"/>
      <c r="F186" s="5"/>
      <c r="G186" s="5"/>
      <c r="H186" s="5"/>
      <c r="J186" s="8"/>
      <c r="K186" s="8"/>
      <c r="L186" s="8"/>
      <c r="M186" s="8"/>
      <c r="N186" s="8"/>
    </row>
    <row r="187" spans="4:14" ht="20.100000000000001" customHeight="1" x14ac:dyDescent="0.2">
      <c r="D187" s="8"/>
      <c r="E187" s="8"/>
      <c r="F187" s="5"/>
      <c r="G187" s="5"/>
      <c r="H187" s="5"/>
      <c r="J187" s="8"/>
      <c r="K187" s="8"/>
      <c r="L187" s="8"/>
      <c r="M187" s="8"/>
      <c r="N187" s="8"/>
    </row>
    <row r="188" spans="4:14" ht="20.100000000000001" customHeight="1" x14ac:dyDescent="0.2">
      <c r="D188" s="8"/>
      <c r="E188" s="8"/>
      <c r="F188" s="5"/>
      <c r="G188" s="5"/>
      <c r="H188" s="5"/>
      <c r="J188" s="8"/>
      <c r="K188" s="8"/>
      <c r="L188" s="8"/>
      <c r="M188" s="8"/>
      <c r="N188" s="8"/>
    </row>
    <row r="189" spans="4:14" ht="20.100000000000001" customHeight="1" x14ac:dyDescent="0.2">
      <c r="D189" s="8"/>
      <c r="E189" s="8"/>
      <c r="F189" s="5"/>
      <c r="G189" s="5"/>
      <c r="H189" s="5"/>
      <c r="J189" s="8"/>
      <c r="K189" s="8"/>
      <c r="L189" s="8"/>
      <c r="M189" s="8"/>
      <c r="N189" s="8"/>
    </row>
    <row r="190" spans="4:14" ht="20.100000000000001" customHeight="1" x14ac:dyDescent="0.2">
      <c r="D190" s="8"/>
      <c r="E190" s="8"/>
      <c r="F190" s="5"/>
      <c r="G190" s="5"/>
      <c r="H190" s="5"/>
      <c r="J190" s="8"/>
      <c r="K190" s="8"/>
      <c r="L190" s="8"/>
      <c r="M190" s="8"/>
      <c r="N190" s="8"/>
    </row>
    <row r="191" spans="4:14" ht="20.100000000000001" customHeight="1" x14ac:dyDescent="0.2">
      <c r="D191" s="8"/>
      <c r="E191" s="8"/>
      <c r="F191" s="5"/>
      <c r="G191" s="5"/>
      <c r="H191" s="5"/>
      <c r="J191" s="8"/>
      <c r="K191" s="8"/>
      <c r="L191" s="8"/>
      <c r="M191" s="8"/>
      <c r="N191" s="8"/>
    </row>
    <row r="192" spans="4:14" ht="20.100000000000001" customHeight="1" x14ac:dyDescent="0.2">
      <c r="D192" s="8"/>
      <c r="E192" s="8"/>
      <c r="F192" s="5"/>
      <c r="G192" s="5"/>
      <c r="H192" s="5"/>
      <c r="J192" s="8"/>
      <c r="K192" s="8"/>
      <c r="L192" s="8"/>
      <c r="M192" s="8"/>
      <c r="N192" s="8"/>
    </row>
    <row r="193" spans="4:14" ht="20.100000000000001" customHeight="1" x14ac:dyDescent="0.2">
      <c r="D193" s="8"/>
      <c r="E193" s="8"/>
      <c r="F193" s="5"/>
      <c r="G193" s="5"/>
      <c r="H193" s="5"/>
      <c r="J193" s="8"/>
      <c r="K193" s="8"/>
      <c r="L193" s="8"/>
      <c r="M193" s="8"/>
      <c r="N193" s="8"/>
    </row>
    <row r="194" spans="4:14" ht="20.100000000000001" customHeight="1" x14ac:dyDescent="0.2">
      <c r="D194" s="8"/>
      <c r="E194" s="8"/>
      <c r="F194" s="5"/>
      <c r="G194" s="5"/>
      <c r="H194" s="5"/>
      <c r="J194" s="8"/>
      <c r="K194" s="8"/>
      <c r="L194" s="8"/>
      <c r="M194" s="8"/>
      <c r="N194" s="8"/>
    </row>
    <row r="195" spans="4:14" ht="20.100000000000001" customHeight="1" x14ac:dyDescent="0.2">
      <c r="D195" s="8"/>
      <c r="E195" s="8"/>
      <c r="F195" s="5"/>
      <c r="G195" s="5"/>
      <c r="H195" s="5"/>
      <c r="J195" s="8"/>
      <c r="K195" s="8"/>
      <c r="L195" s="8"/>
      <c r="M195" s="8"/>
      <c r="N195" s="8"/>
    </row>
    <row r="196" spans="4:14" ht="20.100000000000001" customHeight="1" x14ac:dyDescent="0.2">
      <c r="D196" s="8"/>
      <c r="E196" s="8"/>
      <c r="F196" s="5"/>
      <c r="G196" s="5"/>
      <c r="H196" s="5"/>
      <c r="J196" s="8"/>
      <c r="K196" s="8"/>
      <c r="L196" s="8"/>
      <c r="M196" s="8"/>
      <c r="N196" s="8"/>
    </row>
    <row r="197" spans="4:14" ht="20.100000000000001" customHeight="1" x14ac:dyDescent="0.2">
      <c r="D197" s="8"/>
      <c r="E197" s="8"/>
      <c r="F197" s="5"/>
      <c r="G197" s="5"/>
      <c r="H197" s="5"/>
      <c r="J197" s="8"/>
      <c r="K197" s="8"/>
      <c r="L197" s="8"/>
      <c r="M197" s="8"/>
      <c r="N197" s="8"/>
    </row>
    <row r="198" spans="4:14" ht="20.100000000000001" customHeight="1" x14ac:dyDescent="0.2">
      <c r="D198" s="8"/>
      <c r="E198" s="8"/>
      <c r="F198" s="5"/>
      <c r="G198" s="5"/>
      <c r="H198" s="5"/>
      <c r="J198" s="8"/>
      <c r="K198" s="8"/>
      <c r="L198" s="8"/>
      <c r="M198" s="8"/>
      <c r="N198" s="8"/>
    </row>
    <row r="199" spans="4:14" ht="20.100000000000001" customHeight="1" x14ac:dyDescent="0.2">
      <c r="D199" s="8"/>
      <c r="E199" s="8"/>
      <c r="F199" s="5"/>
      <c r="G199" s="5"/>
      <c r="H199" s="5"/>
      <c r="J199" s="8"/>
      <c r="K199" s="8"/>
      <c r="L199" s="8"/>
      <c r="M199" s="8"/>
      <c r="N199" s="8"/>
    </row>
    <row r="200" spans="4:14" ht="20.100000000000001" customHeight="1" x14ac:dyDescent="0.2">
      <c r="D200" s="8"/>
      <c r="E200" s="8"/>
      <c r="F200" s="5"/>
      <c r="G200" s="5"/>
      <c r="H200" s="5"/>
      <c r="J200" s="8"/>
      <c r="K200" s="8"/>
      <c r="L200" s="8"/>
      <c r="M200" s="8"/>
      <c r="N200" s="8"/>
    </row>
    <row r="201" spans="4:14" ht="20.100000000000001" customHeight="1" x14ac:dyDescent="0.2">
      <c r="D201" s="8"/>
      <c r="E201" s="8"/>
      <c r="F201" s="5"/>
      <c r="G201" s="5"/>
      <c r="H201" s="5"/>
      <c r="J201" s="8"/>
      <c r="K201" s="8"/>
      <c r="L201" s="8"/>
      <c r="M201" s="8"/>
      <c r="N201" s="8"/>
    </row>
    <row r="202" spans="4:14" ht="20.100000000000001" customHeight="1" x14ac:dyDescent="0.2">
      <c r="D202" s="8"/>
      <c r="E202" s="8"/>
      <c r="F202" s="5"/>
      <c r="G202" s="5"/>
      <c r="H202" s="5"/>
      <c r="J202" s="8"/>
      <c r="K202" s="8"/>
      <c r="L202" s="8"/>
      <c r="M202" s="8"/>
      <c r="N202" s="8"/>
    </row>
    <row r="203" spans="4:14" ht="20.100000000000001" customHeight="1" x14ac:dyDescent="0.2">
      <c r="D203" s="8"/>
      <c r="E203" s="8"/>
      <c r="F203" s="5"/>
      <c r="G203" s="5"/>
      <c r="H203" s="5"/>
      <c r="J203" s="8"/>
      <c r="K203" s="8"/>
      <c r="L203" s="8"/>
      <c r="M203" s="8"/>
      <c r="N203" s="8"/>
    </row>
    <row r="204" spans="4:14" ht="20.100000000000001" customHeight="1" x14ac:dyDescent="0.2">
      <c r="D204" s="8"/>
      <c r="E204" s="8"/>
      <c r="F204" s="5"/>
      <c r="G204" s="5"/>
      <c r="H204" s="5"/>
      <c r="J204" s="8"/>
      <c r="K204" s="8"/>
      <c r="L204" s="8"/>
      <c r="M204" s="8"/>
      <c r="N204" s="8"/>
    </row>
    <row r="205" spans="4:14" ht="20.100000000000001" customHeight="1" x14ac:dyDescent="0.2">
      <c r="D205" s="8"/>
      <c r="E205" s="8"/>
      <c r="F205" s="5"/>
      <c r="G205" s="5"/>
      <c r="H205" s="5"/>
      <c r="J205" s="8"/>
      <c r="K205" s="8"/>
      <c r="L205" s="8"/>
      <c r="M205" s="8"/>
      <c r="N205" s="8"/>
    </row>
    <row r="206" spans="4:14" ht="20.100000000000001" customHeight="1" x14ac:dyDescent="0.2">
      <c r="D206" s="8"/>
      <c r="E206" s="8"/>
      <c r="F206" s="5"/>
      <c r="G206" s="5"/>
      <c r="H206" s="5"/>
      <c r="J206" s="8"/>
      <c r="K206" s="8"/>
      <c r="L206" s="8"/>
      <c r="M206" s="8"/>
      <c r="N206" s="8"/>
    </row>
    <row r="207" spans="4:14" ht="20.100000000000001" customHeight="1" x14ac:dyDescent="0.2">
      <c r="D207" s="8"/>
      <c r="E207" s="8"/>
      <c r="F207" s="5"/>
      <c r="G207" s="5"/>
      <c r="H207" s="5"/>
      <c r="J207" s="8"/>
      <c r="K207" s="8"/>
      <c r="L207" s="8"/>
      <c r="M207" s="8"/>
      <c r="N207" s="8"/>
    </row>
    <row r="208" spans="4:14" ht="20.100000000000001" customHeight="1" x14ac:dyDescent="0.2">
      <c r="D208" s="8"/>
      <c r="E208" s="8"/>
      <c r="F208" s="5"/>
      <c r="G208" s="5"/>
      <c r="H208" s="5"/>
      <c r="J208" s="8"/>
      <c r="K208" s="8"/>
      <c r="L208" s="8"/>
      <c r="M208" s="8"/>
      <c r="N208" s="8"/>
    </row>
    <row r="209" spans="4:14" ht="20.100000000000001" customHeight="1" x14ac:dyDescent="0.2">
      <c r="D209" s="8"/>
      <c r="E209" s="8"/>
      <c r="F209" s="5"/>
      <c r="G209" s="5"/>
      <c r="H209" s="5"/>
      <c r="J209" s="8"/>
      <c r="K209" s="8"/>
      <c r="L209" s="8"/>
      <c r="M209" s="8"/>
      <c r="N209" s="8"/>
    </row>
    <row r="210" spans="4:14" ht="20.100000000000001" customHeight="1" x14ac:dyDescent="0.2">
      <c r="D210" s="8"/>
      <c r="E210" s="8"/>
      <c r="F210" s="5"/>
      <c r="G210" s="5"/>
      <c r="H210" s="5"/>
      <c r="J210" s="8"/>
      <c r="K210" s="8"/>
      <c r="L210" s="8"/>
      <c r="M210" s="8"/>
      <c r="N210" s="8"/>
    </row>
    <row r="211" spans="4:14" ht="20.100000000000001" customHeight="1" x14ac:dyDescent="0.2">
      <c r="D211" s="8"/>
      <c r="E211" s="8"/>
      <c r="F211" s="5"/>
      <c r="G211" s="5"/>
      <c r="H211" s="5"/>
      <c r="J211" s="8"/>
      <c r="K211" s="8"/>
      <c r="L211" s="8"/>
      <c r="M211" s="8"/>
      <c r="N211" s="8"/>
    </row>
    <row r="212" spans="4:14" ht="20.100000000000001" customHeight="1" x14ac:dyDescent="0.2">
      <c r="D212" s="8"/>
      <c r="E212" s="8"/>
      <c r="F212" s="5"/>
      <c r="G212" s="5"/>
      <c r="H212" s="5"/>
      <c r="J212" s="8"/>
      <c r="K212" s="8"/>
      <c r="L212" s="8"/>
      <c r="M212" s="8"/>
      <c r="N212" s="8"/>
    </row>
    <row r="213" spans="4:14" ht="20.100000000000001" customHeight="1" x14ac:dyDescent="0.2">
      <c r="D213" s="8"/>
      <c r="E213" s="8"/>
      <c r="F213" s="5"/>
      <c r="G213" s="5"/>
      <c r="H213" s="5"/>
      <c r="J213" s="8"/>
      <c r="K213" s="8"/>
      <c r="L213" s="8"/>
      <c r="M213" s="8"/>
      <c r="N213" s="8"/>
    </row>
    <row r="214" spans="4:14" ht="20.100000000000001" customHeight="1" x14ac:dyDescent="0.2">
      <c r="D214" s="8"/>
      <c r="E214" s="8"/>
      <c r="F214" s="5"/>
      <c r="G214" s="5"/>
      <c r="H214" s="5"/>
      <c r="J214" s="8"/>
      <c r="K214" s="8"/>
      <c r="L214" s="8"/>
      <c r="M214" s="8"/>
      <c r="N214" s="8"/>
    </row>
    <row r="215" spans="4:14" ht="20.100000000000001" customHeight="1" x14ac:dyDescent="0.2">
      <c r="D215" s="8"/>
      <c r="E215" s="8"/>
      <c r="F215" s="5"/>
      <c r="G215" s="5"/>
      <c r="H215" s="5"/>
      <c r="J215" s="8"/>
      <c r="K215" s="8"/>
      <c r="L215" s="8"/>
      <c r="M215" s="8"/>
      <c r="N215" s="8"/>
    </row>
    <row r="216" spans="4:14" ht="20.100000000000001" customHeight="1" x14ac:dyDescent="0.2">
      <c r="D216" s="8"/>
      <c r="E216" s="8"/>
      <c r="F216" s="5"/>
      <c r="G216" s="5"/>
      <c r="H216" s="5"/>
      <c r="J216" s="8"/>
      <c r="K216" s="8"/>
      <c r="L216" s="8"/>
      <c r="M216" s="8"/>
      <c r="N216" s="8"/>
    </row>
    <row r="217" spans="4:14" ht="20.100000000000001" customHeight="1" x14ac:dyDescent="0.2">
      <c r="D217" s="8"/>
      <c r="E217" s="8"/>
      <c r="F217" s="5"/>
      <c r="G217" s="5"/>
      <c r="H217" s="5"/>
      <c r="J217" s="8"/>
      <c r="K217" s="8"/>
      <c r="L217" s="8"/>
      <c r="M217" s="8"/>
      <c r="N217" s="8"/>
    </row>
    <row r="218" spans="4:14" ht="20.100000000000001" customHeight="1" x14ac:dyDescent="0.2">
      <c r="D218" s="8"/>
      <c r="E218" s="8"/>
      <c r="F218" s="5"/>
      <c r="G218" s="5"/>
      <c r="H218" s="5"/>
      <c r="J218" s="8"/>
      <c r="K218" s="8"/>
      <c r="L218" s="8"/>
      <c r="M218" s="8"/>
      <c r="N218" s="8"/>
    </row>
    <row r="219" spans="4:14" ht="20.100000000000001" customHeight="1" x14ac:dyDescent="0.2">
      <c r="D219" s="8"/>
      <c r="E219" s="8"/>
      <c r="F219" s="5"/>
      <c r="G219" s="5"/>
      <c r="H219" s="5"/>
      <c r="J219" s="8"/>
      <c r="K219" s="8"/>
      <c r="L219" s="8"/>
      <c r="M219" s="8"/>
      <c r="N219" s="8"/>
    </row>
    <row r="220" spans="4:14" ht="20.100000000000001" customHeight="1" x14ac:dyDescent="0.2">
      <c r="D220" s="8"/>
      <c r="E220" s="8"/>
      <c r="F220" s="5"/>
      <c r="G220" s="5"/>
      <c r="H220" s="5"/>
      <c r="J220" s="8"/>
      <c r="K220" s="8"/>
      <c r="L220" s="8"/>
      <c r="M220" s="8"/>
      <c r="N220" s="8"/>
    </row>
    <row r="221" spans="4:14" ht="20.100000000000001" customHeight="1" x14ac:dyDescent="0.2">
      <c r="D221" s="8"/>
      <c r="E221" s="8"/>
      <c r="F221" s="5"/>
      <c r="G221" s="5"/>
      <c r="H221" s="5"/>
      <c r="J221" s="8"/>
      <c r="K221" s="8"/>
      <c r="L221" s="8"/>
      <c r="M221" s="8"/>
      <c r="N221" s="8"/>
    </row>
    <row r="222" spans="4:14" ht="20.100000000000001" customHeight="1" x14ac:dyDescent="0.2">
      <c r="D222" s="8"/>
      <c r="E222" s="8"/>
      <c r="F222" s="5"/>
      <c r="G222" s="5"/>
      <c r="H222" s="5"/>
      <c r="J222" s="8"/>
      <c r="K222" s="8"/>
      <c r="L222" s="8"/>
      <c r="M222" s="8"/>
      <c r="N222" s="8"/>
    </row>
    <row r="223" spans="4:14" ht="20.100000000000001" customHeight="1" x14ac:dyDescent="0.2">
      <c r="D223" s="8"/>
      <c r="E223" s="8"/>
      <c r="F223" s="5"/>
      <c r="G223" s="5"/>
      <c r="H223" s="5"/>
      <c r="J223" s="8"/>
      <c r="K223" s="8"/>
      <c r="L223" s="8"/>
      <c r="M223" s="8"/>
      <c r="N223" s="8"/>
    </row>
    <row r="224" spans="4:14" ht="20.100000000000001" customHeight="1" x14ac:dyDescent="0.2">
      <c r="D224" s="8"/>
      <c r="E224" s="8"/>
      <c r="F224" s="5"/>
      <c r="G224" s="5"/>
      <c r="H224" s="5"/>
      <c r="J224" s="8"/>
      <c r="K224" s="8"/>
      <c r="L224" s="8"/>
      <c r="M224" s="8"/>
      <c r="N224" s="8"/>
    </row>
    <row r="225" spans="4:14" ht="20.100000000000001" customHeight="1" x14ac:dyDescent="0.2">
      <c r="D225" s="8"/>
      <c r="E225" s="8"/>
      <c r="F225" s="5"/>
      <c r="G225" s="5"/>
      <c r="H225" s="5"/>
      <c r="J225" s="8"/>
      <c r="K225" s="8"/>
      <c r="L225" s="8"/>
      <c r="M225" s="8"/>
      <c r="N225" s="8"/>
    </row>
    <row r="226" spans="4:14" ht="20.100000000000001" customHeight="1" x14ac:dyDescent="0.2">
      <c r="D226" s="8"/>
      <c r="E226" s="8"/>
      <c r="F226" s="5"/>
      <c r="G226" s="5"/>
      <c r="H226" s="5"/>
      <c r="J226" s="8"/>
      <c r="K226" s="8"/>
      <c r="L226" s="8"/>
      <c r="M226" s="8"/>
      <c r="N226" s="8"/>
    </row>
    <row r="227" spans="4:14" ht="20.100000000000001" customHeight="1" x14ac:dyDescent="0.2">
      <c r="D227" s="8"/>
      <c r="E227" s="8"/>
      <c r="F227" s="5"/>
      <c r="G227" s="5"/>
      <c r="H227" s="5"/>
      <c r="J227" s="8"/>
      <c r="K227" s="8"/>
      <c r="L227" s="8"/>
      <c r="M227" s="8"/>
      <c r="N227" s="8"/>
    </row>
    <row r="228" spans="4:14" ht="20.100000000000001" customHeight="1" x14ac:dyDescent="0.2">
      <c r="D228" s="8"/>
      <c r="E228" s="8"/>
      <c r="F228" s="5"/>
      <c r="G228" s="5"/>
      <c r="H228" s="5"/>
      <c r="J228" s="8"/>
      <c r="K228" s="8"/>
      <c r="L228" s="8"/>
      <c r="M228" s="8"/>
      <c r="N228" s="8"/>
    </row>
    <row r="229" spans="4:14" ht="20.100000000000001" customHeight="1" x14ac:dyDescent="0.2">
      <c r="D229" s="8"/>
      <c r="E229" s="8"/>
      <c r="F229" s="5"/>
      <c r="G229" s="5"/>
      <c r="H229" s="5"/>
      <c r="J229" s="8"/>
      <c r="K229" s="8"/>
      <c r="L229" s="8"/>
      <c r="M229" s="8"/>
      <c r="N229" s="8"/>
    </row>
    <row r="230" spans="4:14" ht="20.100000000000001" customHeight="1" x14ac:dyDescent="0.2">
      <c r="D230" s="8"/>
      <c r="E230" s="8"/>
      <c r="F230" s="5"/>
      <c r="G230" s="5"/>
      <c r="H230" s="5"/>
      <c r="J230" s="8"/>
      <c r="K230" s="8"/>
      <c r="L230" s="8"/>
      <c r="M230" s="8"/>
      <c r="N230" s="8"/>
    </row>
    <row r="231" spans="4:14" ht="20.100000000000001" customHeight="1" x14ac:dyDescent="0.2">
      <c r="D231" s="8"/>
      <c r="E231" s="8"/>
      <c r="F231" s="5"/>
      <c r="G231" s="5"/>
      <c r="H231" s="5"/>
      <c r="J231" s="8"/>
      <c r="K231" s="8"/>
      <c r="L231" s="8"/>
      <c r="M231" s="8"/>
      <c r="N231" s="8"/>
    </row>
    <row r="232" spans="4:14" ht="20.100000000000001" customHeight="1" x14ac:dyDescent="0.2">
      <c r="D232" s="8"/>
      <c r="E232" s="8"/>
      <c r="F232" s="5"/>
      <c r="G232" s="5"/>
      <c r="H232" s="5"/>
      <c r="J232" s="8"/>
      <c r="K232" s="8"/>
      <c r="L232" s="8"/>
      <c r="M232" s="8"/>
      <c r="N232" s="8"/>
    </row>
    <row r="233" spans="4:14" ht="20.100000000000001" customHeight="1" x14ac:dyDescent="0.2">
      <c r="D233" s="8"/>
      <c r="E233" s="8"/>
      <c r="F233" s="5"/>
      <c r="G233" s="5"/>
      <c r="H233" s="5"/>
      <c r="J233" s="8"/>
      <c r="K233" s="8"/>
      <c r="L233" s="8"/>
      <c r="M233" s="8"/>
      <c r="N233" s="8"/>
    </row>
    <row r="234" spans="4:14" ht="20.100000000000001" customHeight="1" x14ac:dyDescent="0.2">
      <c r="D234" s="8"/>
      <c r="E234" s="8"/>
      <c r="F234" s="5"/>
      <c r="G234" s="5"/>
      <c r="H234" s="5"/>
      <c r="J234" s="8"/>
      <c r="K234" s="8"/>
      <c r="L234" s="8"/>
      <c r="M234" s="8"/>
      <c r="N234" s="8"/>
    </row>
    <row r="235" spans="4:14" ht="20.100000000000001" customHeight="1" x14ac:dyDescent="0.2">
      <c r="D235" s="8"/>
      <c r="E235" s="8"/>
      <c r="F235" s="5"/>
      <c r="G235" s="5"/>
      <c r="H235" s="5"/>
      <c r="J235" s="8"/>
      <c r="K235" s="8"/>
      <c r="L235" s="8"/>
      <c r="M235" s="8"/>
      <c r="N235" s="8"/>
    </row>
    <row r="236" spans="4:14" ht="20.100000000000001" customHeight="1" x14ac:dyDescent="0.2">
      <c r="D236" s="8"/>
      <c r="E236" s="8"/>
      <c r="F236" s="5"/>
      <c r="G236" s="5"/>
      <c r="H236" s="5"/>
      <c r="J236" s="8"/>
      <c r="K236" s="8"/>
      <c r="L236" s="8"/>
      <c r="M236" s="8"/>
      <c r="N236" s="8"/>
    </row>
    <row r="237" spans="4:14" ht="20.100000000000001" customHeight="1" x14ac:dyDescent="0.2">
      <c r="D237" s="8"/>
      <c r="E237" s="8"/>
      <c r="F237" s="5"/>
      <c r="G237" s="5"/>
      <c r="H237" s="5"/>
      <c r="J237" s="8"/>
      <c r="K237" s="8"/>
      <c r="L237" s="8"/>
      <c r="M237" s="8"/>
      <c r="N237" s="8"/>
    </row>
    <row r="238" spans="4:14" ht="20.100000000000001" customHeight="1" x14ac:dyDescent="0.2">
      <c r="D238" s="8"/>
      <c r="E238" s="8"/>
      <c r="F238" s="5"/>
      <c r="G238" s="5"/>
      <c r="H238" s="5"/>
      <c r="J238" s="8"/>
      <c r="K238" s="8"/>
      <c r="L238" s="8"/>
      <c r="M238" s="8"/>
      <c r="N238" s="8"/>
    </row>
    <row r="239" spans="4:14" ht="20.100000000000001" customHeight="1" x14ac:dyDescent="0.2">
      <c r="D239" s="8"/>
      <c r="E239" s="8"/>
      <c r="F239" s="5"/>
      <c r="G239" s="5"/>
      <c r="H239" s="5"/>
      <c r="J239" s="8"/>
      <c r="K239" s="8"/>
      <c r="L239" s="8"/>
      <c r="M239" s="8"/>
      <c r="N239" s="8"/>
    </row>
    <row r="240" spans="4:14" ht="20.100000000000001" customHeight="1" x14ac:dyDescent="0.2">
      <c r="D240" s="8"/>
      <c r="E240" s="8"/>
      <c r="F240" s="5"/>
      <c r="G240" s="5"/>
      <c r="H240" s="5"/>
      <c r="J240" s="8"/>
      <c r="K240" s="8"/>
      <c r="L240" s="8"/>
      <c r="M240" s="8"/>
      <c r="N240" s="8"/>
    </row>
  </sheetData>
  <sortState xmlns:xlrd2="http://schemas.microsoft.com/office/spreadsheetml/2017/richdata2" ref="A49:Q59">
    <sortCondition ref="B49:B59"/>
  </sortState>
  <mergeCells count="8">
    <mergeCell ref="A1:C1"/>
    <mergeCell ref="A2:C2"/>
    <mergeCell ref="A3:C3"/>
    <mergeCell ref="J5:M5"/>
    <mergeCell ref="F5:G5"/>
    <mergeCell ref="H5:I5"/>
    <mergeCell ref="D5:E5"/>
    <mergeCell ref="D1:K1"/>
  </mergeCells>
  <printOptions horizontalCentered="1"/>
  <pageMargins left="0.25" right="0.25" top="0.5" bottom="0.5" header="0.3" footer="0.3"/>
  <pageSetup scale="70" fitToHeight="100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F3AB7-2815-45BB-9F25-FC9F6365475D}">
  <dimension ref="A1:T38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4" sqref="A4"/>
    </sheetView>
  </sheetViews>
  <sheetFormatPr defaultRowHeight="15" x14ac:dyDescent="0.25"/>
  <cols>
    <col min="1" max="1" width="9.140625" style="16"/>
    <col min="2" max="2" width="7" style="15" bestFit="1" customWidth="1"/>
    <col min="3" max="3" width="7" style="69" hidden="1" customWidth="1"/>
    <col min="4" max="4" width="11.5703125" style="15" bestFit="1" customWidth="1"/>
    <col min="5" max="5" width="11.5703125" style="63" hidden="1" customWidth="1"/>
    <col min="6" max="6" width="10.5703125" style="15" bestFit="1" customWidth="1"/>
    <col min="7" max="7" width="11.5703125" style="15" bestFit="1" customWidth="1"/>
    <col min="8" max="8" width="10.5703125" style="15" bestFit="1" customWidth="1"/>
    <col min="9" max="9" width="11.5703125" style="15" bestFit="1" customWidth="1"/>
    <col min="10" max="10" width="10.5703125" style="15" customWidth="1"/>
    <col min="11" max="12" width="10.5703125" style="15" bestFit="1" customWidth="1"/>
    <col min="13" max="13" width="9.140625" style="16" customWidth="1"/>
    <col min="14" max="14" width="9.85546875" style="16" bestFit="1" customWidth="1"/>
    <col min="15" max="16" width="9.140625" style="56"/>
    <col min="17" max="16384" width="9.140625" style="16"/>
  </cols>
  <sheetData>
    <row r="1" spans="1:20" x14ac:dyDescent="0.25">
      <c r="A1" s="79" t="s">
        <v>196</v>
      </c>
      <c r="B1" s="79"/>
      <c r="C1" s="68"/>
    </row>
    <row r="2" spans="1:20" x14ac:dyDescent="0.25">
      <c r="A2" s="79" t="s">
        <v>197</v>
      </c>
      <c r="B2" s="79"/>
      <c r="C2" s="68"/>
    </row>
    <row r="3" spans="1:20" x14ac:dyDescent="0.25">
      <c r="A3" s="79" t="s">
        <v>309</v>
      </c>
      <c r="B3" s="79"/>
      <c r="C3" s="68"/>
    </row>
    <row r="6" spans="1:20" x14ac:dyDescent="0.25">
      <c r="D6" s="60"/>
      <c r="E6" s="64"/>
      <c r="G6" s="62"/>
      <c r="I6" s="62"/>
      <c r="M6" s="80" t="s">
        <v>237</v>
      </c>
    </row>
    <row r="7" spans="1:20" x14ac:dyDescent="0.25">
      <c r="M7" s="80"/>
    </row>
    <row r="8" spans="1:20" x14ac:dyDescent="0.25">
      <c r="M8" s="80"/>
      <c r="O8" s="81" t="s">
        <v>267</v>
      </c>
      <c r="P8" s="81"/>
    </row>
    <row r="9" spans="1:20" x14ac:dyDescent="0.25">
      <c r="A9" s="71" t="s">
        <v>198</v>
      </c>
      <c r="B9" s="19"/>
      <c r="C9" s="72" t="s">
        <v>305</v>
      </c>
      <c r="D9" s="73" t="s">
        <v>199</v>
      </c>
      <c r="E9" s="74" t="s">
        <v>307</v>
      </c>
      <c r="F9" s="73" t="s">
        <v>200</v>
      </c>
      <c r="G9" s="73" t="s">
        <v>215</v>
      </c>
      <c r="H9" s="73" t="s">
        <v>201</v>
      </c>
      <c r="I9" s="73" t="s">
        <v>73</v>
      </c>
      <c r="J9" s="73" t="s">
        <v>216</v>
      </c>
      <c r="K9" s="73" t="s">
        <v>202</v>
      </c>
      <c r="L9" s="73" t="s">
        <v>203</v>
      </c>
      <c r="O9" s="75" t="s">
        <v>268</v>
      </c>
      <c r="P9" s="75" t="s">
        <v>269</v>
      </c>
    </row>
    <row r="10" spans="1:20" x14ac:dyDescent="0.25">
      <c r="A10" s="16" t="s">
        <v>204</v>
      </c>
      <c r="D10" s="35">
        <v>66000</v>
      </c>
      <c r="E10" s="63">
        <v>0</v>
      </c>
      <c r="F10" s="15">
        <v>0</v>
      </c>
      <c r="G10" s="15">
        <f t="shared" ref="G10:G15" si="0">+SUM(D10:F10)</f>
        <v>66000</v>
      </c>
      <c r="H10" s="15">
        <f t="shared" ref="H10:H15" si="1">ROUNDUP(G10*0.0765,0)</f>
        <v>5049</v>
      </c>
      <c r="I10" s="15">
        <f>ROUNDUP((D10+F10)*(0.2124),0)</f>
        <v>14019</v>
      </c>
      <c r="J10" s="15">
        <f t="shared" ref="J10:J15" si="2">IF(D10&gt;14000,14000*0.02,D10*0.02)</f>
        <v>280</v>
      </c>
      <c r="K10" s="15">
        <f t="shared" ref="K10:K15" si="3">+SUM(O10:P10)</f>
        <v>10746</v>
      </c>
      <c r="L10" s="15">
        <f>ROUND(G10*0.035,0)</f>
        <v>2310</v>
      </c>
      <c r="M10" s="16" t="s">
        <v>236</v>
      </c>
      <c r="O10" s="56">
        <f>ROUND((756.84+13.48+96.7+6.6)*6,0)</f>
        <v>5242</v>
      </c>
      <c r="P10" s="56">
        <f t="shared" ref="P10:P15" si="4">ROUND(O10*1.05,0)</f>
        <v>5504</v>
      </c>
      <c r="R10" s="16">
        <f>20.09-19.5</f>
        <v>0.58999999999999986</v>
      </c>
      <c r="S10" s="16">
        <f>+R10*2080+1200</f>
        <v>2427.1999999999998</v>
      </c>
    </row>
    <row r="11" spans="1:20" x14ac:dyDescent="0.25">
      <c r="A11" s="16" t="s">
        <v>208</v>
      </c>
      <c r="B11" s="35">
        <v>19.850000000000001</v>
      </c>
      <c r="C11" s="70">
        <v>1.7899999999999999E-2</v>
      </c>
      <c r="D11" s="15">
        <f>2080*B11</f>
        <v>41288</v>
      </c>
      <c r="E11" s="63">
        <v>0</v>
      </c>
      <c r="F11" s="15">
        <v>0</v>
      </c>
      <c r="G11" s="15">
        <f t="shared" ref="G11" si="5">+SUM(D11:F11)</f>
        <v>41288</v>
      </c>
      <c r="H11" s="15">
        <f t="shared" ref="H11" si="6">ROUNDUP(G11*0.0765,0)</f>
        <v>3159</v>
      </c>
      <c r="I11" s="15">
        <f>ROUNDUP((D11+F11)*(0.1856),0)</f>
        <v>7664</v>
      </c>
      <c r="J11" s="15">
        <f t="shared" ref="J11" si="7">IF(D11&gt;14000,14000*0.02,D11*0.02)</f>
        <v>280</v>
      </c>
      <c r="K11" s="15">
        <f t="shared" si="3"/>
        <v>7132</v>
      </c>
      <c r="L11" s="15">
        <f>ROUND(G11*0.0028,0)</f>
        <v>116</v>
      </c>
      <c r="M11" s="16" t="s">
        <v>266</v>
      </c>
      <c r="O11" s="56">
        <f>ROUND((463.1+13.48+96.7+6.6)*6,0)</f>
        <v>3479</v>
      </c>
      <c r="P11" s="56">
        <f t="shared" si="4"/>
        <v>3653</v>
      </c>
      <c r="R11" s="16">
        <f>19.5*1.03</f>
        <v>20.085000000000001</v>
      </c>
      <c r="S11" s="16">
        <f>1*2080</f>
        <v>2080</v>
      </c>
      <c r="T11" s="16">
        <f>+S11-R11</f>
        <v>2059.915</v>
      </c>
    </row>
    <row r="12" spans="1:20" x14ac:dyDescent="0.25">
      <c r="A12" s="16" t="s">
        <v>205</v>
      </c>
      <c r="B12" s="35">
        <v>21.49</v>
      </c>
      <c r="C12" s="70">
        <f>0.5/21</f>
        <v>2.3809523809523808E-2</v>
      </c>
      <c r="D12" s="15">
        <f>ROUND(86*26*B12,0)</f>
        <v>48052</v>
      </c>
      <c r="E12" s="63">
        <v>0</v>
      </c>
      <c r="F12" s="15">
        <f>ROUND(B12*1.5*40,0)</f>
        <v>1289</v>
      </c>
      <c r="G12" s="15">
        <f t="shared" si="0"/>
        <v>49341</v>
      </c>
      <c r="H12" s="15">
        <f t="shared" si="1"/>
        <v>3775</v>
      </c>
      <c r="I12" s="15">
        <f>ROUNDUP((D12+F12)*(0.2124),0)</f>
        <v>10481</v>
      </c>
      <c r="J12" s="15">
        <f t="shared" si="2"/>
        <v>280</v>
      </c>
      <c r="K12" s="15">
        <f t="shared" si="3"/>
        <v>7132</v>
      </c>
      <c r="L12" s="15">
        <f>ROUND(G12*0.035,0)</f>
        <v>1727</v>
      </c>
      <c r="M12" s="16" t="s">
        <v>265</v>
      </c>
      <c r="O12" s="56">
        <f>ROUND((463.1+13.48+96.7+6.6)*6,0)</f>
        <v>3479</v>
      </c>
      <c r="P12" s="56">
        <f t="shared" si="4"/>
        <v>3653</v>
      </c>
      <c r="R12" s="16">
        <f>0.5*2236+1500</f>
        <v>2618</v>
      </c>
      <c r="S12" s="16">
        <f>1*86*26</f>
        <v>2236</v>
      </c>
      <c r="T12" s="16">
        <f>+R12-S123</f>
        <v>2618</v>
      </c>
    </row>
    <row r="13" spans="1:20" x14ac:dyDescent="0.25">
      <c r="A13" s="16" t="s">
        <v>306</v>
      </c>
      <c r="B13" s="35">
        <v>18.600000000000001</v>
      </c>
      <c r="C13" s="70">
        <f>0.56/18</f>
        <v>3.1111111111111114E-2</v>
      </c>
      <c r="D13" s="15">
        <f>ROUND(86*26*B13,0)</f>
        <v>41590</v>
      </c>
      <c r="E13" s="63">
        <v>0</v>
      </c>
      <c r="F13" s="15">
        <f>ROUND(B13*1.5*40,0)</f>
        <v>1116</v>
      </c>
      <c r="G13" s="15">
        <f t="shared" si="0"/>
        <v>42706</v>
      </c>
      <c r="H13" s="15">
        <f t="shared" si="1"/>
        <v>3268</v>
      </c>
      <c r="I13" s="15">
        <f>ROUNDUP((D13+F13)*(0.2124),0)</f>
        <v>9071</v>
      </c>
      <c r="J13" s="15">
        <f t="shared" si="2"/>
        <v>280</v>
      </c>
      <c r="K13" s="15">
        <f t="shared" si="3"/>
        <v>7132</v>
      </c>
      <c r="L13" s="15">
        <f>ROUND(G13*0.035,0)</f>
        <v>1495</v>
      </c>
      <c r="M13" s="16" t="s">
        <v>263</v>
      </c>
      <c r="O13" s="56">
        <f>ROUND((463.1+13.48+96.7+6.6)*6,0)</f>
        <v>3479</v>
      </c>
      <c r="P13" s="56">
        <f t="shared" si="4"/>
        <v>3653</v>
      </c>
      <c r="R13" s="16">
        <f>0.56*86*26+1500</f>
        <v>2752.16</v>
      </c>
      <c r="S13" s="16">
        <f>1*86*26</f>
        <v>2236</v>
      </c>
    </row>
    <row r="14" spans="1:20" x14ac:dyDescent="0.25">
      <c r="A14" s="16" t="s">
        <v>206</v>
      </c>
      <c r="B14" s="35">
        <v>18.5</v>
      </c>
      <c r="C14" s="70">
        <f>0.07/18</f>
        <v>3.8888888888888892E-3</v>
      </c>
      <c r="D14" s="15">
        <f>ROUND(86*26*B14,0)</f>
        <v>41366</v>
      </c>
      <c r="E14" s="63">
        <v>0</v>
      </c>
      <c r="F14" s="15">
        <f>ROUND(B14*1.5*40,0)</f>
        <v>1110</v>
      </c>
      <c r="G14" s="15">
        <f t="shared" si="0"/>
        <v>42476</v>
      </c>
      <c r="H14" s="15">
        <f t="shared" si="1"/>
        <v>3250</v>
      </c>
      <c r="I14" s="15">
        <f>ROUNDUP((D14+F14)*(0.2124),0)</f>
        <v>9022</v>
      </c>
      <c r="J14" s="15">
        <f t="shared" si="2"/>
        <v>280</v>
      </c>
      <c r="K14" s="15">
        <f t="shared" si="3"/>
        <v>13305</v>
      </c>
      <c r="L14" s="15">
        <f>ROUND(G14*0.035,0)</f>
        <v>1487</v>
      </c>
      <c r="M14" s="16" t="s">
        <v>262</v>
      </c>
      <c r="O14" s="56">
        <f>ROUND((964.88+13.48+96.7+6.6)*6,0)</f>
        <v>6490</v>
      </c>
      <c r="P14" s="56">
        <f t="shared" si="4"/>
        <v>6815</v>
      </c>
      <c r="R14" s="16">
        <f>0.07*86*26+1200</f>
        <v>1356.52</v>
      </c>
      <c r="S14" s="16">
        <f>1*86*26</f>
        <v>2236</v>
      </c>
    </row>
    <row r="15" spans="1:20" x14ac:dyDescent="0.25">
      <c r="A15" s="16" t="s">
        <v>206</v>
      </c>
      <c r="B15" s="35">
        <v>17.579999999999998</v>
      </c>
      <c r="C15" s="70">
        <f>0.58/17</f>
        <v>3.411764705882353E-2</v>
      </c>
      <c r="D15" s="17">
        <f>ROUND(86*26*B15,0)</f>
        <v>39309</v>
      </c>
      <c r="E15" s="65">
        <v>0</v>
      </c>
      <c r="F15" s="17">
        <f>ROUND(B15*1.5*40,0)</f>
        <v>1055</v>
      </c>
      <c r="G15" s="17">
        <f t="shared" si="0"/>
        <v>40364</v>
      </c>
      <c r="H15" s="17">
        <f t="shared" si="1"/>
        <v>3088</v>
      </c>
      <c r="I15" s="17">
        <f>ROUNDUP((D15+F15)*(0.2124),0)</f>
        <v>8574</v>
      </c>
      <c r="J15" s="17">
        <f t="shared" si="2"/>
        <v>280</v>
      </c>
      <c r="K15" s="17">
        <f t="shared" si="3"/>
        <v>7132</v>
      </c>
      <c r="L15" s="17">
        <f>ROUND(G15*0.035,0)</f>
        <v>1413</v>
      </c>
      <c r="M15" s="16" t="s">
        <v>264</v>
      </c>
      <c r="O15" s="56">
        <f>ROUND((463.1+13.48+96.7+6.6)*6,0)</f>
        <v>3479</v>
      </c>
      <c r="P15" s="56">
        <f t="shared" si="4"/>
        <v>3653</v>
      </c>
      <c r="R15" s="16">
        <f>0.58*86*26+1000</f>
        <v>2296.88</v>
      </c>
      <c r="S15" s="16">
        <f>1*86*26</f>
        <v>2236</v>
      </c>
    </row>
    <row r="16" spans="1:20" x14ac:dyDescent="0.25">
      <c r="D16" s="19">
        <f t="shared" ref="D16:L16" si="8">+SUM(D10:D15)</f>
        <v>277605</v>
      </c>
      <c r="E16" s="66">
        <f t="shared" si="8"/>
        <v>0</v>
      </c>
      <c r="F16" s="19">
        <f t="shared" si="8"/>
        <v>4570</v>
      </c>
      <c r="G16" s="19">
        <f t="shared" si="8"/>
        <v>282175</v>
      </c>
      <c r="H16" s="19">
        <f t="shared" si="8"/>
        <v>21589</v>
      </c>
      <c r="I16" s="19">
        <f t="shared" si="8"/>
        <v>58831</v>
      </c>
      <c r="J16" s="19">
        <f t="shared" si="8"/>
        <v>1680</v>
      </c>
      <c r="K16" s="19">
        <f t="shared" si="8"/>
        <v>52579</v>
      </c>
      <c r="L16" s="19">
        <f t="shared" si="8"/>
        <v>8548</v>
      </c>
    </row>
    <row r="18" spans="1:20" x14ac:dyDescent="0.25">
      <c r="A18" s="16" t="s">
        <v>207</v>
      </c>
      <c r="D18" s="61"/>
      <c r="E18" s="67"/>
    </row>
    <row r="19" spans="1:20" x14ac:dyDescent="0.25">
      <c r="A19" s="16" t="s">
        <v>208</v>
      </c>
      <c r="B19" s="35">
        <f>ROUND(17.33*1.03,2)</f>
        <v>17.850000000000001</v>
      </c>
      <c r="C19" s="70">
        <f>0.52/17.33</f>
        <v>3.0005770340450089E-2</v>
      </c>
      <c r="D19" s="19">
        <f>ROUND(B19*40*52,0)</f>
        <v>37128</v>
      </c>
      <c r="E19" s="66">
        <v>0</v>
      </c>
      <c r="F19" s="19">
        <v>0</v>
      </c>
      <c r="G19" s="19">
        <f>+SUM(D19:F19)</f>
        <v>37128</v>
      </c>
      <c r="H19" s="19">
        <f>ROUNDUP(G19*0.0765,0)</f>
        <v>2841</v>
      </c>
      <c r="I19" s="19">
        <f>ROUNDUP((D19+F19)*(0.1856),0)</f>
        <v>6891</v>
      </c>
      <c r="J19" s="19">
        <f>IF(D19&gt;14000,14000*0.02,D19*0.02)</f>
        <v>280</v>
      </c>
      <c r="K19" s="19">
        <f>273*12</f>
        <v>3276</v>
      </c>
      <c r="L19" s="19">
        <f>ROUND(G19*0.0028,0)</f>
        <v>104</v>
      </c>
      <c r="M19" s="16" t="s">
        <v>235</v>
      </c>
      <c r="R19" s="16">
        <f>0.52*2080+1200</f>
        <v>2281.6000000000004</v>
      </c>
      <c r="S19" s="16">
        <f>1*2080</f>
        <v>2080</v>
      </c>
      <c r="T19" s="16">
        <f>+S19-R19</f>
        <v>-201.60000000000036</v>
      </c>
    </row>
    <row r="21" spans="1:20" x14ac:dyDescent="0.25">
      <c r="A21" s="16" t="s">
        <v>209</v>
      </c>
    </row>
    <row r="22" spans="1:20" x14ac:dyDescent="0.25">
      <c r="A22" s="16" t="s">
        <v>208</v>
      </c>
      <c r="B22" s="35">
        <v>20</v>
      </c>
      <c r="C22" s="70">
        <v>0</v>
      </c>
      <c r="D22" s="19">
        <f>+B22*2080</f>
        <v>41600</v>
      </c>
      <c r="E22" s="66">
        <v>0</v>
      </c>
      <c r="F22" s="19">
        <f>+B22*1.5*15</f>
        <v>450</v>
      </c>
      <c r="G22" s="19">
        <f>+SUM(D22:F22)</f>
        <v>42050</v>
      </c>
      <c r="H22" s="19">
        <f>ROUNDUP(G22*0.0765,0)</f>
        <v>3217</v>
      </c>
      <c r="I22" s="19">
        <f>ROUNDUP((D22+F22)*(0.1856),0)</f>
        <v>7805</v>
      </c>
      <c r="J22" s="19">
        <f>IF(D22&gt;14000,14000*0.02,D22*0.02)</f>
        <v>280</v>
      </c>
      <c r="K22" s="19">
        <f>+SUM(O22:P22)</f>
        <v>7132</v>
      </c>
      <c r="L22" s="19">
        <f>ROUND(G22*0.0028,0)</f>
        <v>118</v>
      </c>
      <c r="M22" s="16" t="s">
        <v>234</v>
      </c>
      <c r="O22" s="56">
        <f>ROUND((463.1+13.48+96.7+6.6)*6,0)</f>
        <v>3479</v>
      </c>
      <c r="P22" s="56">
        <f>ROUND(O22*1.05,0)</f>
        <v>3653</v>
      </c>
    </row>
    <row r="24" spans="1:20" x14ac:dyDescent="0.25">
      <c r="A24" s="16" t="s">
        <v>210</v>
      </c>
    </row>
    <row r="25" spans="1:20" x14ac:dyDescent="0.25">
      <c r="A25" s="16" t="s">
        <v>211</v>
      </c>
      <c r="D25" s="15">
        <f>500*12</f>
        <v>6000</v>
      </c>
      <c r="G25" s="15">
        <f t="shared" ref="G25:G29" si="9">+SUM(D25:F25)</f>
        <v>6000</v>
      </c>
      <c r="H25" s="15">
        <f t="shared" ref="H25:H29" si="10">ROUNDUP(G25*0.0765,0)</f>
        <v>459</v>
      </c>
    </row>
    <row r="26" spans="1:20" x14ac:dyDescent="0.25">
      <c r="A26" s="16" t="s">
        <v>212</v>
      </c>
      <c r="D26" s="15">
        <f>400*12</f>
        <v>4800</v>
      </c>
      <c r="G26" s="15">
        <f t="shared" si="9"/>
        <v>4800</v>
      </c>
      <c r="H26" s="15">
        <f t="shared" si="10"/>
        <v>368</v>
      </c>
      <c r="I26" s="15">
        <f>ROUNDUP((D26+F26)*(0.1856),0)</f>
        <v>891</v>
      </c>
      <c r="K26" s="15">
        <f>+SUM(O26:P26)</f>
        <v>166</v>
      </c>
      <c r="O26" s="56">
        <f>ROUND(13.48*6,0)</f>
        <v>81</v>
      </c>
      <c r="P26" s="56">
        <f>ROUND(O26*1.05,0)</f>
        <v>85</v>
      </c>
    </row>
    <row r="27" spans="1:20" x14ac:dyDescent="0.25">
      <c r="A27" s="16" t="s">
        <v>212</v>
      </c>
      <c r="D27" s="15">
        <f>400*12</f>
        <v>4800</v>
      </c>
      <c r="G27" s="15">
        <f t="shared" si="9"/>
        <v>4800</v>
      </c>
      <c r="H27" s="15">
        <f t="shared" si="10"/>
        <v>368</v>
      </c>
      <c r="I27" s="15">
        <f>ROUNDUP((D27+F27)*(0.1856),0)</f>
        <v>891</v>
      </c>
    </row>
    <row r="28" spans="1:20" x14ac:dyDescent="0.25">
      <c r="A28" s="16" t="s">
        <v>212</v>
      </c>
      <c r="D28" s="15">
        <f>400*12</f>
        <v>4800</v>
      </c>
      <c r="G28" s="15">
        <f t="shared" si="9"/>
        <v>4800</v>
      </c>
      <c r="H28" s="15">
        <f t="shared" si="10"/>
        <v>368</v>
      </c>
      <c r="I28" s="15">
        <v>0</v>
      </c>
    </row>
    <row r="29" spans="1:20" x14ac:dyDescent="0.25">
      <c r="A29" s="16" t="s">
        <v>212</v>
      </c>
      <c r="D29" s="17">
        <f>400*12</f>
        <v>4800</v>
      </c>
      <c r="E29" s="65"/>
      <c r="F29" s="17"/>
      <c r="G29" s="17">
        <f t="shared" si="9"/>
        <v>4800</v>
      </c>
      <c r="H29" s="17">
        <f t="shared" si="10"/>
        <v>368</v>
      </c>
      <c r="I29" s="17"/>
      <c r="J29" s="17"/>
      <c r="K29" s="17"/>
      <c r="L29" s="17"/>
    </row>
    <row r="30" spans="1:20" x14ac:dyDescent="0.25">
      <c r="D30" s="19">
        <f t="shared" ref="D30:K30" si="11">+SUM(D25:D29)</f>
        <v>25200</v>
      </c>
      <c r="E30" s="66">
        <f t="shared" si="11"/>
        <v>0</v>
      </c>
      <c r="F30" s="19">
        <f t="shared" si="11"/>
        <v>0</v>
      </c>
      <c r="G30" s="19">
        <f t="shared" si="11"/>
        <v>25200</v>
      </c>
      <c r="H30" s="19">
        <f t="shared" si="11"/>
        <v>1931</v>
      </c>
      <c r="I30" s="19">
        <f t="shared" si="11"/>
        <v>1782</v>
      </c>
      <c r="J30" s="19"/>
      <c r="K30" s="19">
        <f t="shared" si="11"/>
        <v>166</v>
      </c>
      <c r="L30" s="19">
        <f t="shared" ref="L30" si="12">+SUM(L25:L29)</f>
        <v>0</v>
      </c>
    </row>
    <row r="32" spans="1:20" x14ac:dyDescent="0.25">
      <c r="A32" s="16" t="s">
        <v>213</v>
      </c>
    </row>
    <row r="33" spans="1:14" x14ac:dyDescent="0.25">
      <c r="A33" s="16" t="s">
        <v>214</v>
      </c>
      <c r="B33" s="35">
        <v>17</v>
      </c>
      <c r="C33" s="70">
        <v>0</v>
      </c>
      <c r="D33" s="19">
        <f>+B33*35*52</f>
        <v>30940</v>
      </c>
      <c r="E33" s="66"/>
      <c r="F33" s="19">
        <v>0</v>
      </c>
      <c r="G33" s="19">
        <f>+SUM(D33:F33)</f>
        <v>30940</v>
      </c>
      <c r="H33" s="19">
        <f>ROUNDUP(G33*0.0765,0)</f>
        <v>2367</v>
      </c>
      <c r="I33" s="19">
        <f>ROUNDUP((D33+F33)*(0.1856),0)</f>
        <v>5743</v>
      </c>
      <c r="J33" s="15">
        <f>IF(D33&gt;14000,14000*0.02,D33*0.02)</f>
        <v>280</v>
      </c>
      <c r="K33" s="19"/>
      <c r="L33" s="19">
        <f>ROUND(G33*0.0505,0)</f>
        <v>1562</v>
      </c>
      <c r="M33" s="18" t="s">
        <v>233</v>
      </c>
    </row>
    <row r="34" spans="1:14" x14ac:dyDescent="0.25">
      <c r="A34" s="16" t="s">
        <v>280</v>
      </c>
      <c r="B34" s="15">
        <v>15</v>
      </c>
      <c r="D34" s="19">
        <f>+B34*25*52</f>
        <v>19500</v>
      </c>
      <c r="E34" s="66"/>
      <c r="F34" s="19">
        <v>0</v>
      </c>
      <c r="G34" s="19">
        <f>+SUM(D34:F34)</f>
        <v>19500</v>
      </c>
      <c r="H34" s="19">
        <f>ROUNDUP(G34*0.0765,0)</f>
        <v>1492</v>
      </c>
      <c r="I34" s="19">
        <f>ROUNDUP((D34+F34)*(0.1856),0)</f>
        <v>3620</v>
      </c>
      <c r="J34" s="15">
        <f>IF(D34&gt;14000,14000*0.02,D34*0.02)</f>
        <v>280</v>
      </c>
      <c r="K34" s="19"/>
      <c r="L34" s="19">
        <f>ROUND(G34*0.0505,0)</f>
        <v>985</v>
      </c>
      <c r="M34" s="18" t="s">
        <v>281</v>
      </c>
    </row>
    <row r="35" spans="1:14" x14ac:dyDescent="0.25">
      <c r="M35" s="18"/>
    </row>
    <row r="36" spans="1:14" x14ac:dyDescent="0.25">
      <c r="A36" s="16" t="s">
        <v>232</v>
      </c>
      <c r="C36" s="15"/>
      <c r="D36" s="19">
        <f>+B36*32*52</f>
        <v>0</v>
      </c>
      <c r="E36" s="66"/>
      <c r="F36" s="15">
        <v>0</v>
      </c>
      <c r="H36" s="15">
        <f>ROUND(SUM(D36:F36)*0.0765,0)</f>
        <v>0</v>
      </c>
      <c r="I36" s="19">
        <f>ROUNDUP(85000*(0.1856),0)</f>
        <v>15776</v>
      </c>
      <c r="M36" s="18"/>
    </row>
    <row r="38" spans="1:14" x14ac:dyDescent="0.25">
      <c r="D38" s="19">
        <f>+D16+D22+D30+D33+D19+D36+D34</f>
        <v>431973</v>
      </c>
      <c r="E38" s="66">
        <f>+E16+E22+E30+E33+E19+E36</f>
        <v>0</v>
      </c>
      <c r="F38" s="19">
        <f t="shared" ref="F38:L38" si="13">+F16+F22+F30+F33+F19+F36+F34</f>
        <v>5020</v>
      </c>
      <c r="G38" s="19">
        <f t="shared" si="13"/>
        <v>436993</v>
      </c>
      <c r="H38" s="19">
        <f t="shared" si="13"/>
        <v>33437</v>
      </c>
      <c r="I38" s="19">
        <f t="shared" si="13"/>
        <v>100448</v>
      </c>
      <c r="J38" s="19">
        <f t="shared" si="13"/>
        <v>2800</v>
      </c>
      <c r="K38" s="19">
        <f t="shared" si="13"/>
        <v>63153</v>
      </c>
      <c r="L38" s="19">
        <f t="shared" si="13"/>
        <v>11317</v>
      </c>
      <c r="N38" s="37">
        <f>+SUM(G38:L38)</f>
        <v>648148</v>
      </c>
    </row>
  </sheetData>
  <mergeCells count="5">
    <mergeCell ref="A1:B1"/>
    <mergeCell ref="A2:B2"/>
    <mergeCell ref="A3:B3"/>
    <mergeCell ref="M6:M8"/>
    <mergeCell ref="O8:P8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70131-98DB-4FB7-88FC-E288998D132B}">
  <sheetPr>
    <pageSetUpPr fitToPage="1"/>
  </sheetPr>
  <dimension ref="A1:V230"/>
  <sheetViews>
    <sheetView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G3" sqref="G3"/>
    </sheetView>
  </sheetViews>
  <sheetFormatPr defaultRowHeight="20.100000000000001" customHeight="1" outlineLevelRow="2" x14ac:dyDescent="0.2"/>
  <cols>
    <col min="1" max="1" width="25.85546875" style="2" bestFit="1" customWidth="1"/>
    <col min="2" max="2" width="7" style="2" bestFit="1" customWidth="1"/>
    <col min="3" max="3" width="24" style="2" customWidth="1"/>
    <col min="4" max="4" width="9.85546875" style="2" customWidth="1"/>
    <col min="5" max="5" width="11.140625" style="2" customWidth="1"/>
    <col min="6" max="8" width="9.5703125" style="2" customWidth="1"/>
    <col min="9" max="9" width="10.42578125" style="5" customWidth="1"/>
    <col min="10" max="10" width="9.85546875" style="5" customWidth="1"/>
    <col min="11" max="11" width="11.140625" style="5" customWidth="1"/>
    <col min="12" max="12" width="10.42578125" style="2" customWidth="1"/>
    <col min="13" max="14" width="9.140625" style="2" customWidth="1"/>
    <col min="15" max="15" width="8.7109375" style="2" customWidth="1"/>
    <col min="16" max="16" width="9.5703125" style="2" customWidth="1"/>
    <col min="17" max="17" width="9.140625" style="2" customWidth="1"/>
    <col min="18" max="18" width="9.85546875" style="2" customWidth="1"/>
    <col min="19" max="19" width="9.5703125" style="2" customWidth="1"/>
    <col min="20" max="22" width="9.140625" style="2" customWidth="1"/>
    <col min="23" max="16384" width="9.140625" style="2"/>
  </cols>
  <sheetData>
    <row r="1" spans="1:20" ht="20.100000000000001" customHeight="1" x14ac:dyDescent="0.2">
      <c r="A1" s="6" t="s">
        <v>3</v>
      </c>
      <c r="C1" s="10"/>
      <c r="D1" s="82" t="s">
        <v>302</v>
      </c>
      <c r="E1" s="82"/>
      <c r="F1" s="82"/>
      <c r="G1" s="82"/>
      <c r="H1" s="82"/>
      <c r="I1" s="82"/>
      <c r="J1" s="82"/>
      <c r="K1" s="82"/>
      <c r="L1" s="82"/>
    </row>
    <row r="2" spans="1:20" ht="20.100000000000001" customHeight="1" x14ac:dyDescent="0.2">
      <c r="A2" s="6" t="s">
        <v>248</v>
      </c>
    </row>
    <row r="3" spans="1:20" ht="20.100000000000001" customHeight="1" x14ac:dyDescent="0.2">
      <c r="A3" s="6" t="s">
        <v>188</v>
      </c>
    </row>
    <row r="4" spans="1:20" ht="20.100000000000001" customHeight="1" x14ac:dyDescent="0.35">
      <c r="A4" s="3"/>
      <c r="B4" s="3"/>
      <c r="C4" s="3"/>
      <c r="D4" s="20"/>
      <c r="E4" s="24"/>
      <c r="F4" s="20"/>
      <c r="G4" s="24"/>
      <c r="H4" s="20"/>
      <c r="I4" s="9"/>
      <c r="J4" s="9"/>
      <c r="K4" s="28"/>
      <c r="L4" s="49"/>
      <c r="M4" s="42"/>
      <c r="N4" s="43"/>
      <c r="O4" s="43"/>
      <c r="P4" s="43"/>
      <c r="Q4" s="43"/>
      <c r="R4" s="43"/>
      <c r="S4" s="43"/>
      <c r="T4" s="43"/>
    </row>
    <row r="5" spans="1:20" s="6" customFormat="1" ht="20.100000000000001" customHeight="1" x14ac:dyDescent="0.2">
      <c r="A5" s="1" t="s">
        <v>0</v>
      </c>
      <c r="C5" s="1"/>
      <c r="D5" s="21"/>
      <c r="E5" s="25"/>
      <c r="F5" s="21"/>
      <c r="G5" s="25"/>
      <c r="H5" s="21"/>
      <c r="I5" s="14"/>
      <c r="J5" s="14"/>
      <c r="K5" s="25"/>
      <c r="L5" s="13"/>
    </row>
    <row r="6" spans="1:20" ht="20.100000000000001" customHeight="1" outlineLevel="2" x14ac:dyDescent="0.2">
      <c r="A6" s="12" t="s">
        <v>163</v>
      </c>
      <c r="B6" s="12">
        <v>411500</v>
      </c>
      <c r="C6" s="12" t="s">
        <v>29</v>
      </c>
      <c r="D6" s="22"/>
      <c r="E6" s="26">
        <f>248.2</f>
        <v>248.2</v>
      </c>
      <c r="F6" s="22"/>
      <c r="G6" s="26">
        <f>849.32</f>
        <v>849.32</v>
      </c>
      <c r="H6" s="22"/>
      <c r="I6" s="4">
        <v>778.68</v>
      </c>
      <c r="J6" s="4">
        <v>150</v>
      </c>
      <c r="K6" s="26">
        <f>+SUM(I6:J6)</f>
        <v>928.68</v>
      </c>
      <c r="L6" s="39">
        <v>900</v>
      </c>
    </row>
    <row r="7" spans="1:20" ht="20.100000000000001" customHeight="1" outlineLevel="2" x14ac:dyDescent="0.2">
      <c r="A7" s="12" t="s">
        <v>163</v>
      </c>
      <c r="B7" s="12">
        <v>411200</v>
      </c>
      <c r="C7" s="12" t="s">
        <v>30</v>
      </c>
      <c r="D7" s="22"/>
      <c r="E7" s="26">
        <f>3218.54</f>
        <v>3218.54</v>
      </c>
      <c r="F7" s="22"/>
      <c r="G7" s="26">
        <f>5180.3</f>
        <v>5180.3</v>
      </c>
      <c r="H7" s="22"/>
      <c r="I7" s="4">
        <v>3888.68</v>
      </c>
      <c r="J7" s="4">
        <v>1400</v>
      </c>
      <c r="K7" s="26">
        <f>+SUM(I7:J7)</f>
        <v>5288.68</v>
      </c>
      <c r="L7" s="39">
        <v>5200</v>
      </c>
    </row>
    <row r="8" spans="1:20" ht="20.100000000000001" customHeight="1" outlineLevel="2" x14ac:dyDescent="0.2">
      <c r="A8" s="12" t="s">
        <v>163</v>
      </c>
      <c r="B8" s="12">
        <v>411300</v>
      </c>
      <c r="C8" s="12" t="s">
        <v>31</v>
      </c>
      <c r="D8" s="22"/>
      <c r="E8" s="26">
        <f>228561.8</f>
        <v>228561.8</v>
      </c>
      <c r="F8" s="22"/>
      <c r="G8" s="26">
        <f>254820.19</f>
        <v>254820.19</v>
      </c>
      <c r="H8" s="22"/>
      <c r="I8" s="4">
        <v>229273.58</v>
      </c>
      <c r="J8" s="4">
        <v>5000</v>
      </c>
      <c r="K8" s="26">
        <f>+SUM(I8:J8)</f>
        <v>234273.58</v>
      </c>
      <c r="L8" s="39">
        <v>250000</v>
      </c>
    </row>
    <row r="9" spans="1:20" ht="20.100000000000001" customHeight="1" outlineLevel="2" x14ac:dyDescent="0.2">
      <c r="A9" s="12" t="s">
        <v>163</v>
      </c>
      <c r="B9" s="12">
        <v>411400</v>
      </c>
      <c r="C9" s="12" t="s">
        <v>32</v>
      </c>
      <c r="D9" s="22"/>
      <c r="E9" s="26">
        <f>8152.27</f>
        <v>8152.27</v>
      </c>
      <c r="F9" s="22"/>
      <c r="G9" s="26">
        <f>6471.28</f>
        <v>6471.28</v>
      </c>
      <c r="H9" s="22"/>
      <c r="I9" s="4">
        <v>5995.17</v>
      </c>
      <c r="J9" s="4">
        <v>1000</v>
      </c>
      <c r="K9" s="26">
        <f>+SUM(I9:J9)</f>
        <v>6995.17</v>
      </c>
      <c r="L9" s="39">
        <v>7000</v>
      </c>
    </row>
    <row r="10" spans="1:20" s="6" customFormat="1" ht="20.100000000000001" customHeight="1" outlineLevel="1" x14ac:dyDescent="0.2">
      <c r="A10" s="50" t="s">
        <v>164</v>
      </c>
      <c r="B10" s="1"/>
      <c r="C10" s="1"/>
      <c r="D10" s="21">
        <v>235700</v>
      </c>
      <c r="E10" s="25">
        <f>SUBTOTAL(9,E6:E9)</f>
        <v>240180.80999999997</v>
      </c>
      <c r="F10" s="21">
        <v>235700</v>
      </c>
      <c r="G10" s="25">
        <f>SUBTOTAL(9,G6:G9)</f>
        <v>267321.09000000003</v>
      </c>
      <c r="H10" s="21">
        <v>295000</v>
      </c>
      <c r="I10" s="14">
        <f>SUBTOTAL(9,I6:I9)</f>
        <v>239936.11</v>
      </c>
      <c r="J10" s="14">
        <f>SUBTOTAL(9,J6:J9)</f>
        <v>7550</v>
      </c>
      <c r="K10" s="25">
        <f>SUBTOTAL(9,K6:K9)</f>
        <v>247486.11000000002</v>
      </c>
      <c r="L10" s="13">
        <f>SUBTOTAL(9,L6:L9)</f>
        <v>263100</v>
      </c>
      <c r="M10" s="6" t="s">
        <v>190</v>
      </c>
    </row>
    <row r="11" spans="1:20" ht="20.100000000000001" customHeight="1" outlineLevel="2" x14ac:dyDescent="0.2">
      <c r="A11" s="51" t="s">
        <v>36</v>
      </c>
      <c r="B11" s="12">
        <v>422100</v>
      </c>
      <c r="C11" s="12" t="s">
        <v>37</v>
      </c>
      <c r="D11" s="22"/>
      <c r="E11" s="26">
        <f>20534.81</f>
        <v>20534.810000000001</v>
      </c>
      <c r="F11" s="22"/>
      <c r="G11" s="26">
        <f>20518.61</f>
        <v>20518.61</v>
      </c>
      <c r="H11" s="22"/>
      <c r="I11" s="4">
        <f>17859.33-6390.83</f>
        <v>11468.500000000002</v>
      </c>
      <c r="J11" s="4">
        <v>10000</v>
      </c>
      <c r="K11" s="26">
        <f t="shared" ref="K11:K13" si="0">+SUM(I11:J11)</f>
        <v>21468.5</v>
      </c>
      <c r="L11" s="39">
        <v>21500</v>
      </c>
    </row>
    <row r="12" spans="1:20" ht="20.100000000000001" customHeight="1" outlineLevel="2" x14ac:dyDescent="0.2">
      <c r="A12" s="51" t="s">
        <v>36</v>
      </c>
      <c r="B12" s="12">
        <v>422200</v>
      </c>
      <c r="C12" s="12" t="s">
        <v>38</v>
      </c>
      <c r="D12" s="22"/>
      <c r="E12" s="26">
        <f>6252.25</f>
        <v>6252.25</v>
      </c>
      <c r="F12" s="22"/>
      <c r="G12" s="26">
        <f>5746.87</f>
        <v>5746.87</v>
      </c>
      <c r="H12" s="22"/>
      <c r="I12" s="4">
        <v>6390.83</v>
      </c>
      <c r="J12" s="4">
        <v>0</v>
      </c>
      <c r="K12" s="26">
        <f t="shared" si="0"/>
        <v>6390.83</v>
      </c>
      <c r="L12" s="39">
        <v>6200</v>
      </c>
    </row>
    <row r="13" spans="1:20" ht="20.100000000000001" customHeight="1" outlineLevel="2" x14ac:dyDescent="0.2">
      <c r="A13" s="51" t="s">
        <v>36</v>
      </c>
      <c r="B13" s="12">
        <v>422300</v>
      </c>
      <c r="C13" s="12" t="s">
        <v>39</v>
      </c>
      <c r="D13" s="22"/>
      <c r="E13" s="26">
        <f>36000</f>
        <v>36000</v>
      </c>
      <c r="F13" s="22"/>
      <c r="G13" s="26">
        <f>44000</f>
        <v>44000</v>
      </c>
      <c r="H13" s="22"/>
      <c r="I13" s="4">
        <v>30000</v>
      </c>
      <c r="J13" s="4">
        <v>10000</v>
      </c>
      <c r="K13" s="26">
        <f t="shared" si="0"/>
        <v>40000</v>
      </c>
      <c r="L13" s="39">
        <v>40000</v>
      </c>
    </row>
    <row r="14" spans="1:20" s="6" customFormat="1" ht="20.100000000000001" customHeight="1" outlineLevel="1" x14ac:dyDescent="0.2">
      <c r="A14" s="50" t="s">
        <v>145</v>
      </c>
      <c r="B14" s="1"/>
      <c r="C14" s="1"/>
      <c r="D14" s="21">
        <v>68000</v>
      </c>
      <c r="E14" s="25">
        <f>SUBTOTAL(9,E11:E13)</f>
        <v>62787.06</v>
      </c>
      <c r="F14" s="21">
        <v>68000</v>
      </c>
      <c r="G14" s="25">
        <f>SUBTOTAL(9,G11:G13)</f>
        <v>70265.48</v>
      </c>
      <c r="H14" s="21">
        <v>68000</v>
      </c>
      <c r="I14" s="14">
        <f>SUBTOTAL(9,I11:I13)</f>
        <v>47859.33</v>
      </c>
      <c r="J14" s="14">
        <f>SUBTOTAL(9,J11:J13)</f>
        <v>20000</v>
      </c>
      <c r="K14" s="25">
        <f>SUBTOTAL(9,K11:K13)</f>
        <v>67859.33</v>
      </c>
      <c r="L14" s="13">
        <f>SUBTOTAL(9,L11:L13)</f>
        <v>67700</v>
      </c>
    </row>
    <row r="15" spans="1:20" ht="20.100000000000001" customHeight="1" outlineLevel="2" x14ac:dyDescent="0.2">
      <c r="A15" s="51" t="s">
        <v>40</v>
      </c>
      <c r="B15" s="12">
        <v>434000</v>
      </c>
      <c r="C15" s="12" t="s">
        <v>41</v>
      </c>
      <c r="D15" s="22"/>
      <c r="E15" s="26">
        <f>2187.7</f>
        <v>2187.6999999999998</v>
      </c>
      <c r="F15" s="22"/>
      <c r="G15" s="26">
        <f>2525.7</f>
        <v>2525.6999999999998</v>
      </c>
      <c r="H15" s="22"/>
      <c r="I15" s="4">
        <v>2356.6999999999998</v>
      </c>
      <c r="J15" s="4">
        <v>0</v>
      </c>
      <c r="K15" s="26">
        <f>+SUM(I15:J15)</f>
        <v>2356.6999999999998</v>
      </c>
      <c r="L15" s="39">
        <v>2350</v>
      </c>
    </row>
    <row r="16" spans="1:20" ht="20.100000000000001" customHeight="1" outlineLevel="2" x14ac:dyDescent="0.2">
      <c r="A16" s="51" t="s">
        <v>40</v>
      </c>
      <c r="B16" s="12">
        <v>418060</v>
      </c>
      <c r="C16" s="12" t="s">
        <v>42</v>
      </c>
      <c r="D16" s="22"/>
      <c r="E16" s="26">
        <f>791.28</f>
        <v>791.28</v>
      </c>
      <c r="F16" s="22"/>
      <c r="G16" s="26">
        <f>694.97</f>
        <v>694.97</v>
      </c>
      <c r="H16" s="22"/>
      <c r="I16" s="4">
        <v>578.55999999999995</v>
      </c>
      <c r="J16" s="4">
        <v>455</v>
      </c>
      <c r="K16" s="26">
        <f>+SUM(I16:J16)</f>
        <v>1033.56</v>
      </c>
      <c r="L16" s="39">
        <v>1000</v>
      </c>
    </row>
    <row r="17" spans="1:13" ht="20.100000000000001" customHeight="1" outlineLevel="2" x14ac:dyDescent="0.2">
      <c r="A17" s="51" t="s">
        <v>165</v>
      </c>
      <c r="B17" s="12">
        <v>418100</v>
      </c>
      <c r="C17" s="12" t="s">
        <v>62</v>
      </c>
      <c r="D17" s="22"/>
      <c r="E17" s="26">
        <f>900</f>
        <v>900</v>
      </c>
      <c r="F17" s="22"/>
      <c r="G17" s="26">
        <f>7600</f>
        <v>7600</v>
      </c>
      <c r="H17" s="22"/>
      <c r="I17" s="4">
        <v>150</v>
      </c>
      <c r="J17" s="4">
        <v>1000</v>
      </c>
      <c r="K17" s="26">
        <f t="shared" ref="K17:K55" si="1">+SUM(I17:J17)</f>
        <v>1150</v>
      </c>
      <c r="L17" s="39">
        <v>1200</v>
      </c>
    </row>
    <row r="18" spans="1:13" ht="20.100000000000001" customHeight="1" outlineLevel="2" x14ac:dyDescent="0.2">
      <c r="A18" s="51" t="s">
        <v>40</v>
      </c>
      <c r="B18" s="12">
        <v>415000</v>
      </c>
      <c r="C18" s="12" t="s">
        <v>43</v>
      </c>
      <c r="D18" s="22"/>
      <c r="E18" s="26">
        <f>369.8</f>
        <v>369.8</v>
      </c>
      <c r="F18" s="22"/>
      <c r="G18" s="26">
        <f>369.8</f>
        <v>369.8</v>
      </c>
      <c r="H18" s="22"/>
      <c r="I18" s="4">
        <v>277.35000000000002</v>
      </c>
      <c r="J18" s="4">
        <v>92.45</v>
      </c>
      <c r="K18" s="26">
        <f t="shared" si="1"/>
        <v>369.8</v>
      </c>
      <c r="L18" s="39">
        <v>370</v>
      </c>
      <c r="M18" s="11"/>
    </row>
    <row r="19" spans="1:13" ht="20.100000000000001" customHeight="1" outlineLevel="2" x14ac:dyDescent="0.2">
      <c r="A19" s="51" t="s">
        <v>40</v>
      </c>
      <c r="B19" s="12">
        <v>431000</v>
      </c>
      <c r="C19" s="12" t="s">
        <v>44</v>
      </c>
      <c r="D19" s="22"/>
      <c r="E19" s="26">
        <f>7918.84</f>
        <v>7918.84</v>
      </c>
      <c r="F19" s="22"/>
      <c r="G19" s="26">
        <f>8070.62</f>
        <v>8070.62</v>
      </c>
      <c r="H19" s="22"/>
      <c r="I19" s="4">
        <v>5446.1</v>
      </c>
      <c r="J19" s="4">
        <v>2000</v>
      </c>
      <c r="K19" s="26">
        <f t="shared" si="1"/>
        <v>7446.1</v>
      </c>
      <c r="L19" s="39">
        <v>7000</v>
      </c>
      <c r="M19" s="2" t="s">
        <v>185</v>
      </c>
    </row>
    <row r="20" spans="1:13" ht="20.100000000000001" customHeight="1" outlineLevel="2" x14ac:dyDescent="0.2">
      <c r="A20" s="51" t="s">
        <v>40</v>
      </c>
      <c r="B20" s="12">
        <v>433100</v>
      </c>
      <c r="C20" s="12" t="s">
        <v>66</v>
      </c>
      <c r="D20" s="22"/>
      <c r="E20" s="26">
        <f>8124.86</f>
        <v>8124.86</v>
      </c>
      <c r="F20" s="22"/>
      <c r="G20" s="26">
        <f>7632.7</f>
        <v>7632.7</v>
      </c>
      <c r="H20" s="22"/>
      <c r="I20" s="4"/>
      <c r="J20" s="4">
        <v>7500</v>
      </c>
      <c r="K20" s="26">
        <f t="shared" si="1"/>
        <v>7500</v>
      </c>
      <c r="L20" s="39">
        <v>7500</v>
      </c>
    </row>
    <row r="21" spans="1:13" ht="20.100000000000001" customHeight="1" outlineLevel="2" x14ac:dyDescent="0.2">
      <c r="A21" s="51" t="s">
        <v>40</v>
      </c>
      <c r="B21" s="12">
        <v>433200</v>
      </c>
      <c r="C21" s="12" t="s">
        <v>67</v>
      </c>
      <c r="D21" s="22"/>
      <c r="E21" s="26">
        <f>32488.92</f>
        <v>32488.92</v>
      </c>
      <c r="F21" s="22"/>
      <c r="G21" s="26">
        <f>36019.53</f>
        <v>36019.53</v>
      </c>
      <c r="H21" s="22"/>
      <c r="I21" s="4">
        <v>1106.53</v>
      </c>
      <c r="J21" s="4">
        <v>35000</v>
      </c>
      <c r="K21" s="26">
        <f t="shared" si="1"/>
        <v>36106.53</v>
      </c>
      <c r="L21" s="39">
        <v>36000</v>
      </c>
    </row>
    <row r="22" spans="1:13" ht="20.100000000000001" customHeight="1" outlineLevel="2" x14ac:dyDescent="0.2">
      <c r="A22" s="51" t="s">
        <v>40</v>
      </c>
      <c r="B22" s="12">
        <v>433300</v>
      </c>
      <c r="C22" s="12" t="s">
        <v>68</v>
      </c>
      <c r="D22" s="22"/>
      <c r="E22" s="26">
        <f>7154</f>
        <v>7154</v>
      </c>
      <c r="F22" s="22"/>
      <c r="G22" s="26">
        <f>8564</f>
        <v>8564</v>
      </c>
      <c r="H22" s="22"/>
      <c r="I22" s="4"/>
      <c r="J22" s="4">
        <v>0</v>
      </c>
      <c r="K22" s="26">
        <f t="shared" si="1"/>
        <v>0</v>
      </c>
      <c r="L22" s="39">
        <v>0</v>
      </c>
      <c r="M22" s="2" t="s">
        <v>192</v>
      </c>
    </row>
    <row r="23" spans="1:13" ht="20.100000000000001" customHeight="1" outlineLevel="2" x14ac:dyDescent="0.2">
      <c r="A23" s="51" t="s">
        <v>40</v>
      </c>
      <c r="B23" s="12">
        <v>433400</v>
      </c>
      <c r="C23" s="12" t="s">
        <v>69</v>
      </c>
      <c r="D23" s="22"/>
      <c r="E23" s="26">
        <f>921.31</f>
        <v>921.31</v>
      </c>
      <c r="F23" s="22"/>
      <c r="G23" s="26">
        <f>915.78</f>
        <v>915.78</v>
      </c>
      <c r="H23" s="22"/>
      <c r="I23" s="4">
        <v>861.15</v>
      </c>
      <c r="J23" s="4">
        <v>8</v>
      </c>
      <c r="K23" s="26">
        <f t="shared" si="1"/>
        <v>869.15</v>
      </c>
      <c r="L23" s="39">
        <v>870</v>
      </c>
    </row>
    <row r="24" spans="1:13" ht="20.100000000000001" customHeight="1" outlineLevel="2" x14ac:dyDescent="0.2">
      <c r="A24" s="51" t="s">
        <v>40</v>
      </c>
      <c r="B24" s="12">
        <v>433500</v>
      </c>
      <c r="C24" s="12" t="s">
        <v>45</v>
      </c>
      <c r="D24" s="22"/>
      <c r="E24" s="26">
        <f>1019</f>
        <v>1019</v>
      </c>
      <c r="F24" s="22"/>
      <c r="G24" s="26">
        <v>0</v>
      </c>
      <c r="H24" s="22"/>
      <c r="I24" s="4">
        <v>1019</v>
      </c>
      <c r="J24" s="4">
        <v>0</v>
      </c>
      <c r="K24" s="26">
        <f t="shared" si="1"/>
        <v>1019</v>
      </c>
      <c r="L24" s="39">
        <v>1019</v>
      </c>
    </row>
    <row r="25" spans="1:13" s="6" customFormat="1" ht="20.100000000000001" customHeight="1" outlineLevel="1" x14ac:dyDescent="0.2">
      <c r="A25" s="50" t="s">
        <v>146</v>
      </c>
      <c r="B25" s="1"/>
      <c r="C25" s="1"/>
      <c r="D25" s="21">
        <v>53000</v>
      </c>
      <c r="E25" s="25">
        <f>SUBTOTAL(9,E15:E24)</f>
        <v>61875.709999999992</v>
      </c>
      <c r="F25" s="21">
        <v>53000</v>
      </c>
      <c r="G25" s="25">
        <f>SUBTOTAL(9,G15:G24)</f>
        <v>72393.100000000006</v>
      </c>
      <c r="H25" s="21">
        <v>58000</v>
      </c>
      <c r="I25" s="14">
        <f>SUBTOTAL(9,I15:I24)</f>
        <v>11795.39</v>
      </c>
      <c r="J25" s="14">
        <f>SUBTOTAL(9,J15:J24)</f>
        <v>46055.45</v>
      </c>
      <c r="K25" s="25">
        <f>SUBTOTAL(9,K15:K24)</f>
        <v>57850.840000000004</v>
      </c>
      <c r="L25" s="13">
        <f>SUBTOTAL(9,L15:L24)</f>
        <v>57309</v>
      </c>
    </row>
    <row r="26" spans="1:13" ht="20.100000000000001" customHeight="1" outlineLevel="2" x14ac:dyDescent="0.2">
      <c r="A26" s="51" t="s">
        <v>47</v>
      </c>
      <c r="B26" s="12">
        <v>421100</v>
      </c>
      <c r="C26" s="12" t="s">
        <v>48</v>
      </c>
      <c r="D26" s="22"/>
      <c r="E26" s="26">
        <f>5915</f>
        <v>5915</v>
      </c>
      <c r="F26" s="22"/>
      <c r="G26" s="26">
        <f>20984</f>
        <v>20984</v>
      </c>
      <c r="H26" s="22"/>
      <c r="I26" s="4">
        <v>20792.75</v>
      </c>
      <c r="J26" s="4">
        <v>0</v>
      </c>
      <c r="K26" s="26">
        <f t="shared" si="1"/>
        <v>20792.75</v>
      </c>
      <c r="L26" s="39">
        <v>5000</v>
      </c>
    </row>
    <row r="27" spans="1:13" ht="20.100000000000001" customHeight="1" outlineLevel="2" x14ac:dyDescent="0.2">
      <c r="A27" s="51" t="s">
        <v>47</v>
      </c>
      <c r="B27" s="12">
        <v>421200</v>
      </c>
      <c r="C27" s="12" t="s">
        <v>49</v>
      </c>
      <c r="D27" s="22"/>
      <c r="E27" s="26">
        <f>300038.61</f>
        <v>300038.61</v>
      </c>
      <c r="F27" s="22"/>
      <c r="G27" s="26">
        <f>317723.95</f>
        <v>317723.95</v>
      </c>
      <c r="H27" s="22"/>
      <c r="I27" s="4">
        <f>265046.76+1.75</f>
        <v>265048.51</v>
      </c>
      <c r="J27" s="4">
        <v>417000</v>
      </c>
      <c r="K27" s="26">
        <f t="shared" si="1"/>
        <v>682048.51</v>
      </c>
      <c r="L27" s="39">
        <v>420000</v>
      </c>
      <c r="M27" s="2" t="s">
        <v>193</v>
      </c>
    </row>
    <row r="28" spans="1:13" ht="20.100000000000001" customHeight="1" outlineLevel="2" x14ac:dyDescent="0.2">
      <c r="A28" s="51" t="s">
        <v>47</v>
      </c>
      <c r="B28" s="12">
        <v>421300</v>
      </c>
      <c r="C28" s="12" t="s">
        <v>50</v>
      </c>
      <c r="D28" s="22"/>
      <c r="E28" s="26">
        <f>180</f>
        <v>180</v>
      </c>
      <c r="F28" s="22"/>
      <c r="G28" s="26">
        <v>0</v>
      </c>
      <c r="H28" s="22"/>
      <c r="I28" s="4"/>
      <c r="J28" s="4">
        <v>0</v>
      </c>
      <c r="K28" s="26">
        <f t="shared" si="1"/>
        <v>0</v>
      </c>
      <c r="L28" s="39">
        <v>0</v>
      </c>
    </row>
    <row r="29" spans="1:13" ht="20.100000000000001" customHeight="1" outlineLevel="2" x14ac:dyDescent="0.2">
      <c r="A29" s="51" t="s">
        <v>47</v>
      </c>
      <c r="B29" s="12">
        <v>421999</v>
      </c>
      <c r="C29" s="12" t="s">
        <v>51</v>
      </c>
      <c r="D29" s="22"/>
      <c r="E29" s="26">
        <f>904.85</f>
        <v>904.85</v>
      </c>
      <c r="F29" s="22"/>
      <c r="G29" s="26">
        <f>462.3</f>
        <v>462.3</v>
      </c>
      <c r="H29" s="22"/>
      <c r="I29" s="4"/>
      <c r="J29" s="4">
        <v>8.69</v>
      </c>
      <c r="K29" s="26">
        <f t="shared" si="1"/>
        <v>8.69</v>
      </c>
      <c r="L29" s="39">
        <v>0</v>
      </c>
    </row>
    <row r="30" spans="1:13" ht="20.100000000000001" customHeight="1" outlineLevel="2" x14ac:dyDescent="0.2">
      <c r="A30" s="51" t="s">
        <v>47</v>
      </c>
      <c r="B30" s="12">
        <v>421110</v>
      </c>
      <c r="C30" s="12" t="s">
        <v>52</v>
      </c>
      <c r="D30" s="22"/>
      <c r="E30" s="26">
        <f>2625</f>
        <v>2625</v>
      </c>
      <c r="F30" s="22"/>
      <c r="G30" s="26">
        <f>2050</f>
        <v>2050</v>
      </c>
      <c r="H30" s="22"/>
      <c r="I30" s="4">
        <v>2930</v>
      </c>
      <c r="J30" s="4">
        <v>2000</v>
      </c>
      <c r="K30" s="26">
        <f t="shared" si="1"/>
        <v>4930</v>
      </c>
      <c r="L30" s="39">
        <f>41*75</f>
        <v>3075</v>
      </c>
      <c r="M30" s="2" t="s">
        <v>194</v>
      </c>
    </row>
    <row r="31" spans="1:13" ht="20.100000000000001" customHeight="1" outlineLevel="2" x14ac:dyDescent="0.2">
      <c r="A31" s="51" t="s">
        <v>47</v>
      </c>
      <c r="B31" s="12">
        <v>421130</v>
      </c>
      <c r="C31" s="12" t="s">
        <v>53</v>
      </c>
      <c r="D31" s="22"/>
      <c r="E31" s="26">
        <v>0</v>
      </c>
      <c r="F31" s="22"/>
      <c r="G31" s="26">
        <f>200</f>
        <v>200</v>
      </c>
      <c r="H31" s="22"/>
      <c r="I31" s="4"/>
      <c r="J31" s="4">
        <v>0</v>
      </c>
      <c r="K31" s="26">
        <f t="shared" si="1"/>
        <v>0</v>
      </c>
      <c r="L31" s="39">
        <v>0</v>
      </c>
    </row>
    <row r="32" spans="1:13" ht="20.100000000000001" customHeight="1" outlineLevel="2" x14ac:dyDescent="0.2">
      <c r="A32" s="51" t="s">
        <v>47</v>
      </c>
      <c r="B32" s="12">
        <v>421500</v>
      </c>
      <c r="C32" s="12" t="s">
        <v>54</v>
      </c>
      <c r="D32" s="22"/>
      <c r="E32" s="26">
        <v>0</v>
      </c>
      <c r="F32" s="22"/>
      <c r="G32" s="26">
        <f>800</f>
        <v>800</v>
      </c>
      <c r="H32" s="22"/>
      <c r="I32" s="4">
        <v>800</v>
      </c>
      <c r="J32" s="4">
        <v>400</v>
      </c>
      <c r="K32" s="26">
        <f t="shared" si="1"/>
        <v>1200</v>
      </c>
      <c r="L32" s="39">
        <v>0</v>
      </c>
    </row>
    <row r="33" spans="1:13" ht="20.100000000000001" customHeight="1" outlineLevel="2" x14ac:dyDescent="0.2">
      <c r="A33" s="51" t="s">
        <v>47</v>
      </c>
      <c r="B33" s="12">
        <v>421400</v>
      </c>
      <c r="C33" s="12" t="s">
        <v>55</v>
      </c>
      <c r="D33" s="22"/>
      <c r="E33" s="26">
        <v>0</v>
      </c>
      <c r="F33" s="22"/>
      <c r="G33" s="26">
        <f>80</f>
        <v>80</v>
      </c>
      <c r="H33" s="22"/>
      <c r="I33" s="4"/>
      <c r="J33" s="4">
        <v>0</v>
      </c>
      <c r="K33" s="26">
        <f t="shared" si="1"/>
        <v>0</v>
      </c>
      <c r="L33" s="39">
        <v>0</v>
      </c>
    </row>
    <row r="34" spans="1:13" ht="20.100000000000001" customHeight="1" outlineLevel="2" x14ac:dyDescent="0.2">
      <c r="A34" s="51" t="s">
        <v>47</v>
      </c>
      <c r="B34" s="12">
        <v>421800</v>
      </c>
      <c r="C34" s="12" t="s">
        <v>56</v>
      </c>
      <c r="D34" s="22"/>
      <c r="E34" s="26">
        <f>20</f>
        <v>20</v>
      </c>
      <c r="F34" s="22"/>
      <c r="G34" s="26">
        <f>100</f>
        <v>100</v>
      </c>
      <c r="H34" s="22"/>
      <c r="I34" s="4">
        <v>20</v>
      </c>
      <c r="J34" s="4">
        <v>20</v>
      </c>
      <c r="K34" s="26">
        <f t="shared" si="1"/>
        <v>40</v>
      </c>
      <c r="L34" s="39">
        <v>0</v>
      </c>
    </row>
    <row r="35" spans="1:13" s="6" customFormat="1" ht="20.100000000000001" customHeight="1" outlineLevel="1" x14ac:dyDescent="0.2">
      <c r="A35" s="50" t="s">
        <v>147</v>
      </c>
      <c r="B35" s="1"/>
      <c r="C35" s="1"/>
      <c r="D35" s="21">
        <v>355000</v>
      </c>
      <c r="E35" s="25">
        <f>SUBTOTAL(9,E26:E34)</f>
        <v>309683.45999999996</v>
      </c>
      <c r="F35" s="21">
        <v>355000</v>
      </c>
      <c r="G35" s="25">
        <f>SUBTOTAL(9,G26:G34)</f>
        <v>342400.25</v>
      </c>
      <c r="H35" s="21">
        <v>337000</v>
      </c>
      <c r="I35" s="14">
        <f>SUBTOTAL(9,I26:I34)</f>
        <v>289591.26</v>
      </c>
      <c r="J35" s="14">
        <f>SUBTOTAL(9,J26:J34)</f>
        <v>419428.69</v>
      </c>
      <c r="K35" s="25">
        <f>SUBTOTAL(9,K26:K34)</f>
        <v>709019.95</v>
      </c>
      <c r="L35" s="13">
        <f>SUBTOTAL(9,L26:L34)</f>
        <v>428075</v>
      </c>
      <c r="M35" s="6" t="s">
        <v>186</v>
      </c>
    </row>
    <row r="36" spans="1:13" ht="20.100000000000001" customHeight="1" outlineLevel="2" x14ac:dyDescent="0.2">
      <c r="A36" s="51" t="s">
        <v>165</v>
      </c>
      <c r="B36" s="12">
        <v>418200</v>
      </c>
      <c r="C36" s="12" t="s">
        <v>61</v>
      </c>
      <c r="D36" s="22"/>
      <c r="E36" s="26">
        <f>6302.1</f>
        <v>6302.1</v>
      </c>
      <c r="F36" s="22"/>
      <c r="G36" s="26">
        <f>18467.68</f>
        <v>18467.68</v>
      </c>
      <c r="H36" s="22"/>
      <c r="I36" s="4">
        <v>19366.2</v>
      </c>
      <c r="J36" s="4">
        <v>0</v>
      </c>
      <c r="K36" s="26">
        <f t="shared" si="1"/>
        <v>19366.2</v>
      </c>
      <c r="L36" s="39">
        <v>15000</v>
      </c>
      <c r="M36" s="2" t="s">
        <v>238</v>
      </c>
    </row>
    <row r="37" spans="1:13" ht="20.100000000000001" customHeight="1" outlineLevel="2" x14ac:dyDescent="0.2">
      <c r="A37" s="51" t="s">
        <v>165</v>
      </c>
      <c r="B37" s="12">
        <v>418300</v>
      </c>
      <c r="C37" s="12" t="s">
        <v>63</v>
      </c>
      <c r="D37" s="22"/>
      <c r="E37" s="26">
        <v>48110.15</v>
      </c>
      <c r="F37" s="22"/>
      <c r="G37" s="26">
        <f>73954.1</f>
        <v>73954.100000000006</v>
      </c>
      <c r="H37" s="22"/>
      <c r="I37" s="4">
        <v>41704.019999999997</v>
      </c>
      <c r="J37" s="4">
        <f>+I37/9*3</f>
        <v>13901.34</v>
      </c>
      <c r="K37" s="26">
        <f t="shared" si="1"/>
        <v>55605.36</v>
      </c>
      <c r="L37" s="39">
        <v>55000</v>
      </c>
      <c r="M37" s="2" t="s">
        <v>184</v>
      </c>
    </row>
    <row r="38" spans="1:13" ht="20.100000000000001" customHeight="1" outlineLevel="2" x14ac:dyDescent="0.2">
      <c r="A38" s="51" t="s">
        <v>165</v>
      </c>
      <c r="B38" s="12">
        <v>418310</v>
      </c>
      <c r="C38" s="12" t="s">
        <v>64</v>
      </c>
      <c r="D38" s="22"/>
      <c r="E38" s="26">
        <f>0</f>
        <v>0</v>
      </c>
      <c r="F38" s="22"/>
      <c r="G38" s="26">
        <f>124.58</f>
        <v>124.58</v>
      </c>
      <c r="H38" s="22"/>
      <c r="I38" s="4">
        <v>11.77</v>
      </c>
      <c r="J38" s="4">
        <v>0</v>
      </c>
      <c r="K38" s="26">
        <f t="shared" si="1"/>
        <v>11.77</v>
      </c>
      <c r="L38" s="39">
        <v>0</v>
      </c>
    </row>
    <row r="39" spans="1:13" s="6" customFormat="1" ht="20.100000000000001" customHeight="1" outlineLevel="1" x14ac:dyDescent="0.2">
      <c r="A39" s="50" t="s">
        <v>166</v>
      </c>
      <c r="B39" s="1"/>
      <c r="C39" s="1"/>
      <c r="D39" s="21">
        <v>35000</v>
      </c>
      <c r="E39" s="25">
        <f>SUBTOTAL(9,E36:E38)</f>
        <v>54412.25</v>
      </c>
      <c r="F39" s="21">
        <v>35000</v>
      </c>
      <c r="G39" s="25">
        <f>SUBTOTAL(9,G36:G38)</f>
        <v>92546.36</v>
      </c>
      <c r="H39" s="21">
        <v>45000</v>
      </c>
      <c r="I39" s="14">
        <f>SUBTOTAL(9,I36:I38)</f>
        <v>61081.99</v>
      </c>
      <c r="J39" s="14">
        <f>SUBTOTAL(9,J36:J38)</f>
        <v>13901.34</v>
      </c>
      <c r="K39" s="25">
        <f>SUBTOTAL(9,K36:K38)</f>
        <v>74983.33</v>
      </c>
      <c r="L39" s="13">
        <f>SUBTOTAL(9,L36:L38)</f>
        <v>70000</v>
      </c>
    </row>
    <row r="40" spans="1:13" ht="20.100000000000001" customHeight="1" outlineLevel="2" x14ac:dyDescent="0.2">
      <c r="A40" s="51" t="s">
        <v>26</v>
      </c>
      <c r="B40" s="12">
        <v>442800</v>
      </c>
      <c r="C40" s="12" t="s">
        <v>27</v>
      </c>
      <c r="D40" s="22"/>
      <c r="E40" s="26">
        <f>21</f>
        <v>21</v>
      </c>
      <c r="F40" s="22"/>
      <c r="G40" s="26">
        <f>531.25</f>
        <v>531.25</v>
      </c>
      <c r="H40" s="22"/>
      <c r="I40" s="4">
        <v>65.36</v>
      </c>
      <c r="J40" s="4"/>
      <c r="K40" s="26">
        <f t="shared" si="1"/>
        <v>65.36</v>
      </c>
      <c r="L40" s="39">
        <v>0</v>
      </c>
    </row>
    <row r="41" spans="1:13" ht="20.100000000000001" customHeight="1" outlineLevel="2" x14ac:dyDescent="0.2">
      <c r="A41" s="51" t="s">
        <v>26</v>
      </c>
      <c r="B41" s="12">
        <v>443140</v>
      </c>
      <c r="C41" s="12" t="s">
        <v>179</v>
      </c>
      <c r="D41" s="22"/>
      <c r="E41" s="26"/>
      <c r="F41" s="22"/>
      <c r="G41" s="26"/>
      <c r="H41" s="22"/>
      <c r="I41" s="4">
        <v>400</v>
      </c>
      <c r="J41" s="4"/>
      <c r="K41" s="26">
        <f t="shared" si="1"/>
        <v>400</v>
      </c>
      <c r="L41" s="39">
        <v>0</v>
      </c>
    </row>
    <row r="42" spans="1:13" ht="20.100000000000001" customHeight="1" outlineLevel="2" x14ac:dyDescent="0.2">
      <c r="A42" s="51" t="s">
        <v>26</v>
      </c>
      <c r="B42" s="12">
        <v>443150</v>
      </c>
      <c r="C42" s="12" t="s">
        <v>180</v>
      </c>
      <c r="D42" s="22"/>
      <c r="E42" s="26"/>
      <c r="F42" s="22"/>
      <c r="G42" s="26"/>
      <c r="H42" s="22"/>
      <c r="I42" s="4">
        <v>24000</v>
      </c>
      <c r="J42" s="4"/>
      <c r="K42" s="26">
        <f t="shared" si="1"/>
        <v>24000</v>
      </c>
      <c r="L42" s="39">
        <v>24000</v>
      </c>
    </row>
    <row r="43" spans="1:13" ht="20.100000000000001" customHeight="1" outlineLevel="2" x14ac:dyDescent="0.2">
      <c r="A43" s="51" t="s">
        <v>26</v>
      </c>
      <c r="B43" s="12">
        <v>443100</v>
      </c>
      <c r="C43" s="12" t="s">
        <v>65</v>
      </c>
      <c r="D43" s="22"/>
      <c r="E43" s="26">
        <f>2875</f>
        <v>2875</v>
      </c>
      <c r="F43" s="22"/>
      <c r="G43" s="26">
        <v>0</v>
      </c>
      <c r="H43" s="22"/>
      <c r="I43" s="4">
        <v>0</v>
      </c>
      <c r="J43" s="4"/>
      <c r="K43" s="26">
        <f t="shared" si="1"/>
        <v>0</v>
      </c>
      <c r="L43" s="39">
        <v>0</v>
      </c>
    </row>
    <row r="44" spans="1:13" s="6" customFormat="1" ht="20.100000000000001" customHeight="1" outlineLevel="1" x14ac:dyDescent="0.2">
      <c r="A44" s="50" t="s">
        <v>144</v>
      </c>
      <c r="B44" s="1"/>
      <c r="C44" s="1"/>
      <c r="D44" s="21">
        <v>1500</v>
      </c>
      <c r="E44" s="25">
        <f>SUBTOTAL(9,E40:E43)</f>
        <v>2896</v>
      </c>
      <c r="F44" s="21">
        <v>1500</v>
      </c>
      <c r="G44" s="25">
        <f t="shared" ref="G44:L44" si="2">SUBTOTAL(9,G40:G43)</f>
        <v>531.25</v>
      </c>
      <c r="H44" s="21">
        <f t="shared" si="2"/>
        <v>0</v>
      </c>
      <c r="I44" s="14">
        <f t="shared" si="2"/>
        <v>24465.360000000001</v>
      </c>
      <c r="J44" s="14">
        <f t="shared" si="2"/>
        <v>0</v>
      </c>
      <c r="K44" s="25">
        <f t="shared" si="2"/>
        <v>24465.360000000001</v>
      </c>
      <c r="L44" s="13">
        <f t="shared" si="2"/>
        <v>24000</v>
      </c>
    </row>
    <row r="45" spans="1:13" ht="20.100000000000001" customHeight="1" outlineLevel="2" x14ac:dyDescent="0.2">
      <c r="A45" s="51" t="s">
        <v>34</v>
      </c>
      <c r="B45" s="12">
        <v>451100</v>
      </c>
      <c r="C45" s="12" t="s">
        <v>33</v>
      </c>
      <c r="D45" s="22"/>
      <c r="E45" s="26">
        <f>11375.5</f>
        <v>11375.5</v>
      </c>
      <c r="F45" s="22"/>
      <c r="G45" s="26">
        <f>12157.64</f>
        <v>12157.64</v>
      </c>
      <c r="H45" s="22"/>
      <c r="I45" s="4">
        <v>2823.37</v>
      </c>
      <c r="J45" s="4">
        <f>270.86+515+250</f>
        <v>1035.8600000000001</v>
      </c>
      <c r="K45" s="26">
        <f t="shared" si="1"/>
        <v>3859.23</v>
      </c>
      <c r="L45" s="39">
        <v>5000</v>
      </c>
      <c r="M45" s="2" t="s">
        <v>195</v>
      </c>
    </row>
    <row r="46" spans="1:13" ht="20.100000000000001" customHeight="1" outlineLevel="2" x14ac:dyDescent="0.2">
      <c r="A46" s="51" t="s">
        <v>34</v>
      </c>
      <c r="B46" s="12">
        <v>451500</v>
      </c>
      <c r="C46" s="12" t="s">
        <v>35</v>
      </c>
      <c r="D46" s="22"/>
      <c r="E46" s="26">
        <f>555</f>
        <v>555</v>
      </c>
      <c r="F46" s="22"/>
      <c r="G46" s="26">
        <f>7732.5</f>
        <v>7732.5</v>
      </c>
      <c r="H46" s="22"/>
      <c r="I46" s="4">
        <v>2910</v>
      </c>
      <c r="J46" s="4">
        <v>220</v>
      </c>
      <c r="K46" s="26">
        <f t="shared" si="1"/>
        <v>3130</v>
      </c>
      <c r="L46" s="39">
        <v>3500</v>
      </c>
    </row>
    <row r="47" spans="1:13" s="6" customFormat="1" ht="20.100000000000001" customHeight="1" outlineLevel="1" x14ac:dyDescent="0.2">
      <c r="A47" s="50" t="s">
        <v>148</v>
      </c>
      <c r="B47" s="1"/>
      <c r="C47" s="1"/>
      <c r="D47" s="21">
        <v>9000</v>
      </c>
      <c r="E47" s="25">
        <f>SUBTOTAL(9,E45:E46)</f>
        <v>11930.5</v>
      </c>
      <c r="F47" s="21">
        <v>9000</v>
      </c>
      <c r="G47" s="25">
        <f>SUBTOTAL(9,G45:G46)</f>
        <v>19890.14</v>
      </c>
      <c r="H47" s="21">
        <v>15000</v>
      </c>
      <c r="I47" s="14">
        <f>SUBTOTAL(9,I45:I46)</f>
        <v>5733.37</v>
      </c>
      <c r="J47" s="14">
        <f>SUBTOTAL(9,J45:J46)</f>
        <v>1255.8600000000001</v>
      </c>
      <c r="K47" s="25">
        <f>SUBTOTAL(9,K45:K46)</f>
        <v>6989.23</v>
      </c>
      <c r="L47" s="13">
        <f>SUBTOTAL(9,L45:L46)</f>
        <v>8500</v>
      </c>
      <c r="M47" s="2" t="s">
        <v>195</v>
      </c>
    </row>
    <row r="48" spans="1:13" ht="20.100000000000001" customHeight="1" outlineLevel="2" x14ac:dyDescent="0.2">
      <c r="A48" s="51" t="s">
        <v>57</v>
      </c>
      <c r="B48" s="12">
        <v>481910</v>
      </c>
      <c r="C48" s="12" t="s">
        <v>28</v>
      </c>
      <c r="D48" s="22"/>
      <c r="E48" s="26">
        <f>50</f>
        <v>50</v>
      </c>
      <c r="F48" s="22"/>
      <c r="G48" s="26">
        <v>0</v>
      </c>
      <c r="H48" s="22"/>
      <c r="I48" s="4"/>
      <c r="J48" s="4"/>
      <c r="K48" s="26">
        <f t="shared" si="1"/>
        <v>0</v>
      </c>
      <c r="L48" s="39">
        <v>0</v>
      </c>
    </row>
    <row r="49" spans="1:21" ht="20.100000000000001" customHeight="1" outlineLevel="2" x14ac:dyDescent="0.2">
      <c r="A49" s="51" t="s">
        <v>57</v>
      </c>
      <c r="B49" s="12">
        <v>471000</v>
      </c>
      <c r="C49" s="12" t="s">
        <v>46</v>
      </c>
      <c r="D49" s="22"/>
      <c r="E49" s="26">
        <f>1233.42</f>
        <v>1233.42</v>
      </c>
      <c r="F49" s="22"/>
      <c r="G49" s="26">
        <f>70.91</f>
        <v>70.91</v>
      </c>
      <c r="H49" s="22"/>
      <c r="I49" s="4">
        <v>80.16</v>
      </c>
      <c r="J49" s="4">
        <v>7</v>
      </c>
      <c r="K49" s="26">
        <f t="shared" si="1"/>
        <v>87.16</v>
      </c>
      <c r="L49" s="39">
        <v>0</v>
      </c>
    </row>
    <row r="50" spans="1:21" ht="20.100000000000001" customHeight="1" outlineLevel="2" x14ac:dyDescent="0.2">
      <c r="A50" s="51" t="s">
        <v>57</v>
      </c>
      <c r="B50" s="12">
        <v>483900</v>
      </c>
      <c r="C50" s="12" t="s">
        <v>35</v>
      </c>
      <c r="D50" s="22"/>
      <c r="E50" s="26">
        <v>21464.19</v>
      </c>
      <c r="F50" s="22"/>
      <c r="G50" s="26">
        <f>4440</f>
        <v>4440</v>
      </c>
      <c r="H50" s="22"/>
      <c r="I50" s="4"/>
      <c r="J50" s="4"/>
      <c r="K50" s="26">
        <f t="shared" si="1"/>
        <v>0</v>
      </c>
      <c r="L50" s="39">
        <v>100</v>
      </c>
    </row>
    <row r="51" spans="1:21" ht="20.100000000000001" customHeight="1" outlineLevel="2" x14ac:dyDescent="0.2">
      <c r="A51" s="51" t="s">
        <v>57</v>
      </c>
      <c r="B51" s="12">
        <v>499996</v>
      </c>
      <c r="C51" s="12" t="s">
        <v>58</v>
      </c>
      <c r="D51" s="22"/>
      <c r="E51" s="26">
        <f>200</f>
        <v>200</v>
      </c>
      <c r="F51" s="22"/>
      <c r="G51" s="26">
        <v>0</v>
      </c>
      <c r="H51" s="22"/>
      <c r="I51" s="4">
        <v>25</v>
      </c>
      <c r="J51" s="4">
        <v>0</v>
      </c>
      <c r="K51" s="26">
        <f t="shared" si="1"/>
        <v>25</v>
      </c>
      <c r="L51" s="39">
        <v>0</v>
      </c>
    </row>
    <row r="52" spans="1:21" ht="20.100000000000001" customHeight="1" outlineLevel="2" x14ac:dyDescent="0.2">
      <c r="A52" s="51" t="s">
        <v>57</v>
      </c>
      <c r="B52" s="12">
        <v>499997</v>
      </c>
      <c r="C52" s="12" t="s">
        <v>59</v>
      </c>
      <c r="D52" s="22"/>
      <c r="E52" s="26">
        <f>1687.83</f>
        <v>1687.83</v>
      </c>
      <c r="F52" s="22"/>
      <c r="G52" s="26">
        <v>0</v>
      </c>
      <c r="H52" s="22"/>
      <c r="I52" s="4">
        <v>713.57</v>
      </c>
      <c r="J52" s="4">
        <v>0</v>
      </c>
      <c r="K52" s="26">
        <f t="shared" si="1"/>
        <v>713.57</v>
      </c>
      <c r="L52" s="39">
        <v>0</v>
      </c>
    </row>
    <row r="53" spans="1:21" ht="20.100000000000001" customHeight="1" outlineLevel="2" x14ac:dyDescent="0.2">
      <c r="A53" s="51" t="s">
        <v>57</v>
      </c>
      <c r="B53" s="12">
        <v>499998</v>
      </c>
      <c r="C53" s="12" t="s">
        <v>60</v>
      </c>
      <c r="D53" s="22"/>
      <c r="E53" s="26">
        <f>2970</f>
        <v>2970</v>
      </c>
      <c r="F53" s="22"/>
      <c r="G53" s="26">
        <f>6121.25</f>
        <v>6121.25</v>
      </c>
      <c r="H53" s="22"/>
      <c r="I53" s="4">
        <v>882.28</v>
      </c>
      <c r="J53" s="4">
        <v>0</v>
      </c>
      <c r="K53" s="26">
        <f t="shared" si="1"/>
        <v>882.28</v>
      </c>
      <c r="L53" s="39">
        <v>0</v>
      </c>
    </row>
    <row r="54" spans="1:21" ht="20.100000000000001" customHeight="1" outlineLevel="2" x14ac:dyDescent="0.2">
      <c r="A54" s="51" t="s">
        <v>57</v>
      </c>
      <c r="B54" s="12">
        <v>499994</v>
      </c>
      <c r="C54" s="12" t="s">
        <v>4</v>
      </c>
      <c r="D54" s="22"/>
      <c r="E54" s="26">
        <v>0</v>
      </c>
      <c r="F54" s="22"/>
      <c r="G54" s="26">
        <f>3741.72</f>
        <v>3741.72</v>
      </c>
      <c r="H54" s="22"/>
      <c r="I54" s="4">
        <v>826.87</v>
      </c>
      <c r="J54" s="4">
        <v>0</v>
      </c>
      <c r="K54" s="26">
        <f t="shared" si="1"/>
        <v>826.87</v>
      </c>
      <c r="L54" s="39">
        <v>0</v>
      </c>
    </row>
    <row r="55" spans="1:21" ht="20.100000000000001" customHeight="1" outlineLevel="2" x14ac:dyDescent="0.2">
      <c r="A55" s="51" t="s">
        <v>57</v>
      </c>
      <c r="B55" s="12">
        <v>500001</v>
      </c>
      <c r="C55" s="12" t="s">
        <v>5</v>
      </c>
      <c r="D55" s="22"/>
      <c r="E55" s="26">
        <v>-5</v>
      </c>
      <c r="F55" s="22"/>
      <c r="G55" s="26">
        <f>1.55</f>
        <v>1.55</v>
      </c>
      <c r="H55" s="22"/>
      <c r="I55" s="4">
        <v>147.63999999999999</v>
      </c>
      <c r="J55" s="4">
        <v>0</v>
      </c>
      <c r="K55" s="26">
        <f t="shared" si="1"/>
        <v>147.63999999999999</v>
      </c>
      <c r="L55" s="39">
        <v>0</v>
      </c>
    </row>
    <row r="56" spans="1:21" s="6" customFormat="1" ht="20.100000000000001" customHeight="1" outlineLevel="1" thickBot="1" x14ac:dyDescent="0.25">
      <c r="A56" s="50" t="s">
        <v>149</v>
      </c>
      <c r="B56" s="1"/>
      <c r="C56" s="1"/>
      <c r="D56" s="29">
        <v>100</v>
      </c>
      <c r="E56" s="30">
        <f>SUBTOTAL(9,E48:E55)</f>
        <v>27600.440000000002</v>
      </c>
      <c r="F56" s="29">
        <v>100</v>
      </c>
      <c r="G56" s="30">
        <f>SUBTOTAL(9,G48:G55)</f>
        <v>14375.429999999998</v>
      </c>
      <c r="H56" s="29">
        <v>2500</v>
      </c>
      <c r="I56" s="31">
        <f>SUBTOTAL(9,I48:I55)</f>
        <v>2675.52</v>
      </c>
      <c r="J56" s="31">
        <f>SUBTOTAL(9,J48:J55)</f>
        <v>7</v>
      </c>
      <c r="K56" s="30">
        <f>SUBTOTAL(9,K48:K55)</f>
        <v>2682.52</v>
      </c>
      <c r="L56" s="40">
        <f>SUBTOTAL(9,L48:L55)</f>
        <v>100</v>
      </c>
    </row>
    <row r="57" spans="1:21" s="6" customFormat="1" ht="20.100000000000001" customHeight="1" x14ac:dyDescent="0.2">
      <c r="A57" s="52" t="s">
        <v>1</v>
      </c>
      <c r="B57" s="1"/>
      <c r="C57" s="1"/>
      <c r="D57" s="21">
        <f t="shared" ref="D57:L57" si="3">SUBTOTAL(9,D6:D56)</f>
        <v>757300</v>
      </c>
      <c r="E57" s="25">
        <f t="shared" si="3"/>
        <v>771366.22999999986</v>
      </c>
      <c r="F57" s="21">
        <f t="shared" si="3"/>
        <v>757300</v>
      </c>
      <c r="G57" s="25">
        <f t="shared" si="3"/>
        <v>879723.10000000021</v>
      </c>
      <c r="H57" s="21">
        <f t="shared" si="3"/>
        <v>820500</v>
      </c>
      <c r="I57" s="14">
        <f t="shared" si="3"/>
        <v>683138.33</v>
      </c>
      <c r="J57" s="14">
        <f t="shared" si="3"/>
        <v>508198.34</v>
      </c>
      <c r="K57" s="25">
        <f t="shared" si="3"/>
        <v>1191336.6700000002</v>
      </c>
      <c r="L57" s="13">
        <f t="shared" si="3"/>
        <v>918784</v>
      </c>
    </row>
    <row r="58" spans="1:21" ht="20.100000000000001" customHeight="1" x14ac:dyDescent="0.2">
      <c r="A58" s="12"/>
      <c r="B58" s="12"/>
      <c r="C58" s="12"/>
      <c r="D58" s="22"/>
      <c r="E58" s="26"/>
      <c r="F58" s="22"/>
      <c r="G58" s="26"/>
      <c r="H58" s="22"/>
      <c r="I58" s="4"/>
      <c r="J58" s="4"/>
      <c r="K58" s="26"/>
      <c r="L58" s="39"/>
    </row>
    <row r="59" spans="1:21" s="6" customFormat="1" ht="20.100000000000001" customHeight="1" x14ac:dyDescent="0.35">
      <c r="A59" s="1" t="s">
        <v>178</v>
      </c>
      <c r="B59" s="1"/>
      <c r="C59" s="1"/>
      <c r="D59" s="21"/>
      <c r="E59" s="25"/>
      <c r="F59" s="21"/>
      <c r="G59" s="25"/>
      <c r="H59" s="21"/>
      <c r="I59" s="14"/>
      <c r="J59" s="14"/>
      <c r="K59" s="25"/>
      <c r="L59" s="13"/>
      <c r="N59" s="43" t="s">
        <v>212</v>
      </c>
      <c r="O59" s="43" t="s">
        <v>243</v>
      </c>
      <c r="P59" s="43" t="s">
        <v>239</v>
      </c>
      <c r="Q59" s="43" t="s">
        <v>242</v>
      </c>
      <c r="R59" s="43" t="s">
        <v>240</v>
      </c>
      <c r="S59" s="43" t="s">
        <v>241</v>
      </c>
      <c r="T59" s="43" t="s">
        <v>241</v>
      </c>
      <c r="U59" s="11">
        <f t="shared" ref="U59:U114" si="4">+L59-SUM(N59:T59)</f>
        <v>0</v>
      </c>
    </row>
    <row r="60" spans="1:21" ht="20.100000000000001" customHeight="1" outlineLevel="2" x14ac:dyDescent="0.2">
      <c r="A60" s="12" t="s">
        <v>70</v>
      </c>
      <c r="B60" s="12">
        <v>610100</v>
      </c>
      <c r="C60" s="12" t="s">
        <v>71</v>
      </c>
      <c r="D60" s="22"/>
      <c r="E60" s="26">
        <f>297949.43</f>
        <v>297949.43</v>
      </c>
      <c r="F60" s="22"/>
      <c r="G60" s="26">
        <f>324470.37</f>
        <v>324470.37</v>
      </c>
      <c r="H60" s="22"/>
      <c r="I60" s="4">
        <v>275686.3</v>
      </c>
      <c r="J60" s="4">
        <f>10963.93*2+(7616.16*2.5)</f>
        <v>40968.26</v>
      </c>
      <c r="K60" s="26">
        <f t="shared" ref="K60:K65" si="5">+SUM(I60:J60)</f>
        <v>316654.56</v>
      </c>
      <c r="L60" s="39">
        <f>+Payroll!G38</f>
        <v>436993</v>
      </c>
      <c r="M60" s="2" t="s">
        <v>229</v>
      </c>
      <c r="N60" s="11">
        <f>+Payroll!G30</f>
        <v>25200</v>
      </c>
      <c r="O60" s="11"/>
      <c r="P60" s="11">
        <f>+Payroll!G22</f>
        <v>42050</v>
      </c>
      <c r="Q60" s="11"/>
      <c r="R60" s="11">
        <f>+Payroll!G16+Payroll!G19</f>
        <v>319303</v>
      </c>
      <c r="S60" s="11">
        <f>+Payroll!G33</f>
        <v>30940</v>
      </c>
      <c r="T60" s="11"/>
      <c r="U60" s="11">
        <f t="shared" si="4"/>
        <v>19500</v>
      </c>
    </row>
    <row r="61" spans="1:21" ht="20.100000000000001" customHeight="1" outlineLevel="2" x14ac:dyDescent="0.2">
      <c r="A61" s="12" t="s">
        <v>70</v>
      </c>
      <c r="B61" s="12">
        <v>615100</v>
      </c>
      <c r="C61" s="12" t="s">
        <v>72</v>
      </c>
      <c r="D61" s="22"/>
      <c r="E61" s="26">
        <f>22120.33</f>
        <v>22120.33</v>
      </c>
      <c r="F61" s="22"/>
      <c r="G61" s="26">
        <f>24365.5</f>
        <v>24365.5</v>
      </c>
      <c r="H61" s="22"/>
      <c r="I61" s="4">
        <v>21007.9</v>
      </c>
      <c r="J61" s="4">
        <f>+J60*0.0765</f>
        <v>3134.0718900000002</v>
      </c>
      <c r="K61" s="26">
        <f t="shared" si="5"/>
        <v>24141.971890000001</v>
      </c>
      <c r="L61" s="39">
        <f>+Payroll!H38</f>
        <v>33437</v>
      </c>
      <c r="M61" s="2" t="s">
        <v>230</v>
      </c>
      <c r="N61" s="11">
        <f>+Payroll!H30</f>
        <v>1931</v>
      </c>
      <c r="O61" s="11"/>
      <c r="P61" s="11">
        <f>+Payroll!H22</f>
        <v>3217</v>
      </c>
      <c r="Q61" s="11"/>
      <c r="R61" s="11">
        <f>+Payroll!H16+Payroll!H19</f>
        <v>24430</v>
      </c>
      <c r="S61" s="11">
        <f>+Payroll!H33</f>
        <v>2367</v>
      </c>
      <c r="T61" s="11"/>
      <c r="U61" s="11">
        <f t="shared" si="4"/>
        <v>1492</v>
      </c>
    </row>
    <row r="62" spans="1:21" ht="20.100000000000001" customHeight="1" outlineLevel="2" x14ac:dyDescent="0.2">
      <c r="A62" s="12" t="s">
        <v>70</v>
      </c>
      <c r="B62" s="12">
        <v>615300</v>
      </c>
      <c r="C62" s="12" t="s">
        <v>73</v>
      </c>
      <c r="D62" s="22"/>
      <c r="E62" s="26">
        <f>56645.17</f>
        <v>56645.17</v>
      </c>
      <c r="F62" s="22"/>
      <c r="G62" s="26">
        <f>61807.66</f>
        <v>61807.66</v>
      </c>
      <c r="H62" s="22"/>
      <c r="I62" s="4">
        <v>56559.9</v>
      </c>
      <c r="J62" s="4">
        <f>+J60*0.1924</f>
        <v>7882.293224</v>
      </c>
      <c r="K62" s="26">
        <f t="shared" si="5"/>
        <v>64442.193224000002</v>
      </c>
      <c r="L62" s="39">
        <f>+Payroll!I38</f>
        <v>100448</v>
      </c>
      <c r="M62" s="2" t="s">
        <v>230</v>
      </c>
      <c r="N62" s="11">
        <f>+Payroll!I30</f>
        <v>1782</v>
      </c>
      <c r="O62" s="11"/>
      <c r="P62" s="11">
        <f>+Payroll!I22</f>
        <v>7805</v>
      </c>
      <c r="Q62" s="11"/>
      <c r="R62" s="11">
        <f>+Payroll!I16+Payroll!I19</f>
        <v>65722</v>
      </c>
      <c r="S62" s="11">
        <f>+Payroll!I33</f>
        <v>5743</v>
      </c>
      <c r="T62" s="11"/>
      <c r="U62" s="11">
        <f t="shared" si="4"/>
        <v>19396</v>
      </c>
    </row>
    <row r="63" spans="1:21" ht="20.100000000000001" customHeight="1" outlineLevel="2" x14ac:dyDescent="0.2">
      <c r="A63" s="12" t="s">
        <v>70</v>
      </c>
      <c r="B63" s="12">
        <v>615301</v>
      </c>
      <c r="C63" s="12" t="s">
        <v>21</v>
      </c>
      <c r="D63" s="22"/>
      <c r="E63" s="26">
        <v>0</v>
      </c>
      <c r="F63" s="22"/>
      <c r="G63" s="26"/>
      <c r="H63" s="22"/>
      <c r="I63" s="4">
        <v>0</v>
      </c>
      <c r="J63" s="4">
        <v>0</v>
      </c>
      <c r="K63" s="26">
        <f t="shared" si="5"/>
        <v>0</v>
      </c>
      <c r="L63" s="39">
        <v>0</v>
      </c>
      <c r="U63" s="11">
        <f t="shared" si="4"/>
        <v>0</v>
      </c>
    </row>
    <row r="64" spans="1:21" ht="20.100000000000001" customHeight="1" outlineLevel="2" x14ac:dyDescent="0.2">
      <c r="A64" s="12" t="s">
        <v>70</v>
      </c>
      <c r="B64" s="12">
        <v>615400</v>
      </c>
      <c r="C64" s="12" t="s">
        <v>74</v>
      </c>
      <c r="D64" s="22"/>
      <c r="E64" s="26">
        <f>296.25</f>
        <v>296.25</v>
      </c>
      <c r="F64" s="22"/>
      <c r="G64" s="26">
        <f>649.56</f>
        <v>649.55999999999995</v>
      </c>
      <c r="H64" s="22"/>
      <c r="I64" s="4">
        <v>-1583.6</v>
      </c>
      <c r="J64" s="4">
        <f>106*4.5</f>
        <v>477</v>
      </c>
      <c r="K64" s="26">
        <f t="shared" si="5"/>
        <v>-1106.5999999999999</v>
      </c>
      <c r="L64" s="39">
        <f>+Payroll!J38</f>
        <v>2800</v>
      </c>
      <c r="M64" s="2" t="s">
        <v>230</v>
      </c>
      <c r="P64" s="11">
        <f>+Payroll!J22</f>
        <v>280</v>
      </c>
      <c r="Q64" s="11"/>
      <c r="R64" s="11">
        <f>+Payroll!J16+Payroll!J19</f>
        <v>1960</v>
      </c>
      <c r="S64" s="11">
        <f>+Payroll!J33</f>
        <v>280</v>
      </c>
      <c r="T64" s="11"/>
      <c r="U64" s="11">
        <f t="shared" si="4"/>
        <v>280</v>
      </c>
    </row>
    <row r="65" spans="1:22" ht="20.100000000000001" customHeight="1" outlineLevel="2" x14ac:dyDescent="0.2">
      <c r="A65" s="12" t="s">
        <v>70</v>
      </c>
      <c r="B65" s="12">
        <v>615500</v>
      </c>
      <c r="C65" s="12" t="s">
        <v>75</v>
      </c>
      <c r="D65" s="22"/>
      <c r="E65" s="26">
        <f>40547.11-5693.37</f>
        <v>34853.74</v>
      </c>
      <c r="F65" s="22"/>
      <c r="G65" s="26">
        <f>36159.84-1000.3</f>
        <v>35159.539999999994</v>
      </c>
      <c r="H65" s="22"/>
      <c r="I65" s="4">
        <v>27122.83</v>
      </c>
      <c r="J65" s="4">
        <f>1500*4</f>
        <v>6000</v>
      </c>
      <c r="K65" s="26">
        <f t="shared" si="5"/>
        <v>33122.83</v>
      </c>
      <c r="L65" s="39">
        <f>+Payroll!K38</f>
        <v>63153</v>
      </c>
      <c r="M65" s="2" t="s">
        <v>222</v>
      </c>
      <c r="N65" s="11">
        <f>+Payroll!K30</f>
        <v>166</v>
      </c>
      <c r="O65" s="11"/>
      <c r="P65" s="11">
        <f>+Payroll!K22</f>
        <v>7132</v>
      </c>
      <c r="Q65" s="11"/>
      <c r="R65" s="11">
        <f>+Payroll!K16+Payroll!K19</f>
        <v>55855</v>
      </c>
      <c r="S65" s="2">
        <v>0</v>
      </c>
      <c r="U65" s="11">
        <f t="shared" si="4"/>
        <v>0</v>
      </c>
    </row>
    <row r="66" spans="1:22" s="6" customFormat="1" ht="20.100000000000001" customHeight="1" outlineLevel="1" x14ac:dyDescent="0.2">
      <c r="A66" s="50" t="s">
        <v>151</v>
      </c>
      <c r="B66" s="1"/>
      <c r="C66" s="1"/>
      <c r="D66" s="21">
        <v>374380</v>
      </c>
      <c r="E66" s="25">
        <f>SUBTOTAL(9,E60:E65)</f>
        <v>411864.92</v>
      </c>
      <c r="F66" s="21">
        <v>374380</v>
      </c>
      <c r="G66" s="25">
        <f>SUBTOTAL(9,G60:G65)</f>
        <v>446452.63</v>
      </c>
      <c r="H66" s="21">
        <v>449218</v>
      </c>
      <c r="I66" s="14">
        <f>SUBTOTAL(9,I60:I65)</f>
        <v>378793.33000000007</v>
      </c>
      <c r="J66" s="14">
        <f>SUBTOTAL(9,J60:J65)</f>
        <v>58461.625114000002</v>
      </c>
      <c r="K66" s="25">
        <f>SUBTOTAL(9,K60:K65)</f>
        <v>437254.95511400001</v>
      </c>
      <c r="L66" s="13">
        <f>SUBTOTAL(9,L60:L65)</f>
        <v>636831</v>
      </c>
      <c r="N66" s="13">
        <f t="shared" ref="N66:T66" si="6">SUBTOTAL(9,N60:N65)</f>
        <v>29079</v>
      </c>
      <c r="O66" s="13">
        <f t="shared" si="6"/>
        <v>0</v>
      </c>
      <c r="P66" s="13">
        <f t="shared" si="6"/>
        <v>60484</v>
      </c>
      <c r="Q66" s="13">
        <f t="shared" si="6"/>
        <v>0</v>
      </c>
      <c r="R66" s="13">
        <f t="shared" si="6"/>
        <v>467270</v>
      </c>
      <c r="S66" s="13">
        <f t="shared" si="6"/>
        <v>39330</v>
      </c>
      <c r="T66" s="13">
        <f t="shared" si="6"/>
        <v>0</v>
      </c>
      <c r="U66" s="11">
        <f t="shared" si="4"/>
        <v>40668</v>
      </c>
      <c r="V66" s="44">
        <f>+L66-Budget!L70</f>
        <v>586611.5</v>
      </c>
    </row>
    <row r="67" spans="1:22" ht="20.100000000000001" customHeight="1" outlineLevel="2" x14ac:dyDescent="0.2">
      <c r="A67" s="51" t="s">
        <v>76</v>
      </c>
      <c r="B67" s="12">
        <v>621100</v>
      </c>
      <c r="C67" s="12" t="s">
        <v>77</v>
      </c>
      <c r="D67" s="22"/>
      <c r="E67" s="26">
        <f>9762</f>
        <v>9762</v>
      </c>
      <c r="F67" s="22"/>
      <c r="G67" s="26">
        <f>3290.15</f>
        <v>3290.15</v>
      </c>
      <c r="H67" s="22"/>
      <c r="I67" s="4">
        <v>2788.92</v>
      </c>
      <c r="J67" s="4">
        <f>+I67/10*2</f>
        <v>557.78399999999999</v>
      </c>
      <c r="K67" s="26">
        <f t="shared" ref="K67:K71" si="7">+SUM(I67:J67)</f>
        <v>3346.7040000000002</v>
      </c>
      <c r="L67" s="39">
        <f>3500-84+256</f>
        <v>3672</v>
      </c>
      <c r="N67" s="39">
        <v>100</v>
      </c>
      <c r="O67" s="39"/>
      <c r="P67" s="39">
        <v>1516</v>
      </c>
      <c r="Q67" s="39">
        <v>356</v>
      </c>
      <c r="R67" s="39">
        <v>1600</v>
      </c>
      <c r="S67" s="39">
        <v>100</v>
      </c>
      <c r="T67" s="39"/>
      <c r="U67" s="11">
        <f t="shared" si="4"/>
        <v>0</v>
      </c>
    </row>
    <row r="68" spans="1:22" ht="20.100000000000001" customHeight="1" outlineLevel="2" x14ac:dyDescent="0.2">
      <c r="A68" s="51" t="s">
        <v>76</v>
      </c>
      <c r="B68" s="12">
        <v>621200</v>
      </c>
      <c r="C68" s="12" t="s">
        <v>78</v>
      </c>
      <c r="D68" s="22"/>
      <c r="E68" s="26">
        <f>8537.98</f>
        <v>8537.98</v>
      </c>
      <c r="F68" s="22"/>
      <c r="G68" s="26">
        <f>2879.81</f>
        <v>2879.81</v>
      </c>
      <c r="H68" s="22"/>
      <c r="I68" s="4">
        <v>1143.1400000000001</v>
      </c>
      <c r="J68" s="4">
        <f>+I68/10*2</f>
        <v>228.62800000000001</v>
      </c>
      <c r="K68" s="26">
        <f t="shared" si="7"/>
        <v>1371.768</v>
      </c>
      <c r="L68" s="39">
        <v>2000</v>
      </c>
      <c r="N68" s="39"/>
      <c r="O68" s="39"/>
      <c r="P68" s="39"/>
      <c r="Q68" s="39"/>
      <c r="R68" s="39">
        <v>2000</v>
      </c>
      <c r="S68" s="39"/>
      <c r="T68" s="39"/>
      <c r="U68" s="11">
        <f t="shared" si="4"/>
        <v>0</v>
      </c>
    </row>
    <row r="69" spans="1:22" ht="20.100000000000001" customHeight="1" outlineLevel="2" x14ac:dyDescent="0.2">
      <c r="A69" s="51" t="s">
        <v>76</v>
      </c>
      <c r="B69" s="12">
        <v>621300</v>
      </c>
      <c r="C69" s="12" t="s">
        <v>79</v>
      </c>
      <c r="D69" s="22"/>
      <c r="E69" s="26">
        <f>321.84</f>
        <v>321.83999999999997</v>
      </c>
      <c r="F69" s="22"/>
      <c r="G69" s="26"/>
      <c r="H69" s="22"/>
      <c r="I69" s="4"/>
      <c r="J69" s="4"/>
      <c r="K69" s="26">
        <f t="shared" si="7"/>
        <v>0</v>
      </c>
      <c r="L69" s="39">
        <v>0</v>
      </c>
      <c r="N69" s="39"/>
      <c r="O69" s="39"/>
      <c r="P69" s="39"/>
      <c r="Q69" s="39"/>
      <c r="R69" s="39"/>
      <c r="S69" s="39"/>
      <c r="T69" s="39"/>
      <c r="U69" s="11">
        <f t="shared" si="4"/>
        <v>0</v>
      </c>
    </row>
    <row r="70" spans="1:22" ht="20.100000000000001" customHeight="1" outlineLevel="2" x14ac:dyDescent="0.2">
      <c r="A70" s="51" t="s">
        <v>76</v>
      </c>
      <c r="B70" s="12">
        <v>621400</v>
      </c>
      <c r="C70" s="12" t="s">
        <v>80</v>
      </c>
      <c r="D70" s="22"/>
      <c r="E70" s="26">
        <f>13122.51</f>
        <v>13122.51</v>
      </c>
      <c r="F70" s="22"/>
      <c r="G70" s="26">
        <f>13634.25</f>
        <v>13634.25</v>
      </c>
      <c r="H70" s="22"/>
      <c r="I70" s="4">
        <v>11045.89</v>
      </c>
      <c r="J70" s="4">
        <v>3000</v>
      </c>
      <c r="K70" s="26">
        <f t="shared" si="7"/>
        <v>14045.89</v>
      </c>
      <c r="L70" s="39">
        <f>ROUNDUP(K70*1.3,0)</f>
        <v>18260</v>
      </c>
      <c r="M70" s="2" t="s">
        <v>228</v>
      </c>
      <c r="N70" s="39"/>
      <c r="O70" s="39"/>
      <c r="P70" s="39"/>
      <c r="Q70" s="39"/>
      <c r="R70" s="39">
        <v>17260</v>
      </c>
      <c r="S70" s="39">
        <v>1000</v>
      </c>
      <c r="T70" s="39"/>
      <c r="U70" s="11">
        <f t="shared" si="4"/>
        <v>0</v>
      </c>
    </row>
    <row r="71" spans="1:22" ht="20.100000000000001" customHeight="1" outlineLevel="2" x14ac:dyDescent="0.2">
      <c r="A71" s="51" t="s">
        <v>76</v>
      </c>
      <c r="B71" s="12">
        <v>621500</v>
      </c>
      <c r="C71" s="12" t="s">
        <v>81</v>
      </c>
      <c r="D71" s="22"/>
      <c r="E71" s="26">
        <f>800.1</f>
        <v>800.1</v>
      </c>
      <c r="F71" s="22"/>
      <c r="G71" s="26">
        <f>729.15</f>
        <v>729.15</v>
      </c>
      <c r="H71" s="22"/>
      <c r="I71" s="4">
        <v>714.36</v>
      </c>
      <c r="J71" s="4">
        <f>+I71/10*2</f>
        <v>142.87200000000001</v>
      </c>
      <c r="K71" s="26">
        <f t="shared" si="7"/>
        <v>857.23199999999997</v>
      </c>
      <c r="L71" s="39">
        <v>1000</v>
      </c>
      <c r="N71" s="39"/>
      <c r="O71" s="39"/>
      <c r="P71" s="39">
        <v>700</v>
      </c>
      <c r="Q71" s="39"/>
      <c r="R71" s="39">
        <v>280</v>
      </c>
      <c r="S71" s="39">
        <v>20</v>
      </c>
      <c r="T71" s="39"/>
      <c r="U71" s="11">
        <f t="shared" si="4"/>
        <v>0</v>
      </c>
    </row>
    <row r="72" spans="1:22" s="6" customFormat="1" ht="20.100000000000001" customHeight="1" outlineLevel="1" x14ac:dyDescent="0.2">
      <c r="A72" s="50" t="s">
        <v>152</v>
      </c>
      <c r="B72" s="1"/>
      <c r="C72" s="1"/>
      <c r="D72" s="21">
        <v>19200</v>
      </c>
      <c r="E72" s="25">
        <f>SUBTOTAL(9,E67:E71)</f>
        <v>32544.43</v>
      </c>
      <c r="F72" s="21">
        <v>19200</v>
      </c>
      <c r="G72" s="25">
        <f>SUBTOTAL(9,G67:G71)</f>
        <v>20533.36</v>
      </c>
      <c r="H72" s="21">
        <v>21300</v>
      </c>
      <c r="I72" s="14">
        <f>SUBTOTAL(9,I67:I71)</f>
        <v>15692.310000000001</v>
      </c>
      <c r="J72" s="14">
        <f>SUBTOTAL(9,J67:J71)</f>
        <v>3929.2840000000001</v>
      </c>
      <c r="K72" s="25">
        <f>SUBTOTAL(9,K67:K71)</f>
        <v>19621.594000000001</v>
      </c>
      <c r="L72" s="13">
        <f>SUBTOTAL(9,L67:L71)</f>
        <v>24932</v>
      </c>
      <c r="N72" s="13">
        <f t="shared" ref="N72:T72" si="8">SUBTOTAL(9,N67:N71)</f>
        <v>100</v>
      </c>
      <c r="O72" s="13">
        <f t="shared" si="8"/>
        <v>0</v>
      </c>
      <c r="P72" s="13">
        <f t="shared" si="8"/>
        <v>2216</v>
      </c>
      <c r="Q72" s="13">
        <f t="shared" si="8"/>
        <v>356</v>
      </c>
      <c r="R72" s="13">
        <f t="shared" si="8"/>
        <v>21140</v>
      </c>
      <c r="S72" s="13">
        <f t="shared" si="8"/>
        <v>1120</v>
      </c>
      <c r="T72" s="13">
        <f t="shared" si="8"/>
        <v>0</v>
      </c>
      <c r="U72" s="11">
        <f t="shared" si="4"/>
        <v>0</v>
      </c>
      <c r="V72" s="44">
        <f>+L72-Budget!L76</f>
        <v>20304.39909090909</v>
      </c>
    </row>
    <row r="73" spans="1:22" ht="20.100000000000001" customHeight="1" outlineLevel="2" x14ac:dyDescent="0.2">
      <c r="A73" s="51" t="s">
        <v>6</v>
      </c>
      <c r="B73" s="12">
        <v>622100</v>
      </c>
      <c r="C73" s="12"/>
      <c r="D73" s="22"/>
      <c r="E73" s="26">
        <f>1891.08</f>
        <v>1891.08</v>
      </c>
      <c r="F73" s="22"/>
      <c r="G73" s="26">
        <f>669.04</f>
        <v>669.04</v>
      </c>
      <c r="H73" s="22"/>
      <c r="I73" s="4">
        <v>817.56</v>
      </c>
      <c r="J73" s="4">
        <v>0</v>
      </c>
      <c r="K73" s="26">
        <f>+SUM(I73:J73)</f>
        <v>817.56</v>
      </c>
      <c r="L73" s="39">
        <v>1000</v>
      </c>
      <c r="N73" s="39">
        <v>150</v>
      </c>
      <c r="O73" s="39"/>
      <c r="P73" s="39"/>
      <c r="Q73" s="39"/>
      <c r="R73" s="39">
        <v>500</v>
      </c>
      <c r="S73" s="39">
        <v>350</v>
      </c>
      <c r="T73" s="39"/>
      <c r="U73" s="11">
        <f t="shared" si="4"/>
        <v>0</v>
      </c>
    </row>
    <row r="74" spans="1:22" s="6" customFormat="1" ht="20.100000000000001" customHeight="1" outlineLevel="1" x14ac:dyDescent="0.2">
      <c r="A74" s="50" t="s">
        <v>153</v>
      </c>
      <c r="B74" s="1"/>
      <c r="C74" s="1"/>
      <c r="D74" s="21">
        <v>1500</v>
      </c>
      <c r="E74" s="25">
        <f>SUBTOTAL(9,E73:E73)</f>
        <v>1891.08</v>
      </c>
      <c r="F74" s="21">
        <v>1500</v>
      </c>
      <c r="G74" s="25">
        <f>SUBTOTAL(9,G73:G73)</f>
        <v>669.04</v>
      </c>
      <c r="H74" s="21">
        <v>1500</v>
      </c>
      <c r="I74" s="14">
        <f>SUBTOTAL(9,I73:I73)</f>
        <v>817.56</v>
      </c>
      <c r="J74" s="14">
        <f>SUBTOTAL(9,J73:J73)</f>
        <v>0</v>
      </c>
      <c r="K74" s="25">
        <f>SUBTOTAL(9,K73:K73)</f>
        <v>817.56</v>
      </c>
      <c r="L74" s="13">
        <f>SUBTOTAL(9,L73:L73)</f>
        <v>1000</v>
      </c>
      <c r="N74" s="13">
        <f t="shared" ref="N74:T74" si="9">SUBTOTAL(9,N73:N73)</f>
        <v>150</v>
      </c>
      <c r="O74" s="13">
        <f t="shared" si="9"/>
        <v>0</v>
      </c>
      <c r="P74" s="13">
        <f t="shared" si="9"/>
        <v>0</v>
      </c>
      <c r="Q74" s="13">
        <f t="shared" si="9"/>
        <v>0</v>
      </c>
      <c r="R74" s="13">
        <f t="shared" si="9"/>
        <v>500</v>
      </c>
      <c r="S74" s="13">
        <f t="shared" si="9"/>
        <v>350</v>
      </c>
      <c r="T74" s="13">
        <f t="shared" si="9"/>
        <v>0</v>
      </c>
      <c r="U74" s="11">
        <f t="shared" si="4"/>
        <v>0</v>
      </c>
      <c r="V74" s="44">
        <f>+L74-Budget!L78</f>
        <v>850</v>
      </c>
    </row>
    <row r="75" spans="1:22" ht="20.100000000000001" customHeight="1" outlineLevel="2" x14ac:dyDescent="0.2">
      <c r="A75" s="51" t="s">
        <v>82</v>
      </c>
      <c r="B75" s="12">
        <v>631130</v>
      </c>
      <c r="C75" s="12" t="s">
        <v>83</v>
      </c>
      <c r="D75" s="22"/>
      <c r="E75" s="26">
        <f>15</f>
        <v>15</v>
      </c>
      <c r="F75" s="22"/>
      <c r="G75" s="26"/>
      <c r="H75" s="22">
        <v>63.42</v>
      </c>
      <c r="I75" s="4">
        <v>-7.33</v>
      </c>
      <c r="J75" s="4">
        <v>0</v>
      </c>
      <c r="K75" s="26">
        <f t="shared" ref="K75:K79" si="10">+SUM(I75:J75)</f>
        <v>-7.33</v>
      </c>
      <c r="L75" s="39">
        <v>0</v>
      </c>
      <c r="N75" s="39"/>
      <c r="O75" s="39"/>
      <c r="P75" s="39"/>
      <c r="Q75" s="39"/>
      <c r="R75" s="39"/>
      <c r="S75" s="39"/>
      <c r="T75" s="39"/>
      <c r="U75" s="11">
        <f t="shared" si="4"/>
        <v>0</v>
      </c>
    </row>
    <row r="76" spans="1:22" ht="20.100000000000001" customHeight="1" outlineLevel="2" x14ac:dyDescent="0.2">
      <c r="A76" s="51" t="s">
        <v>82</v>
      </c>
      <c r="B76" s="12">
        <v>631140</v>
      </c>
      <c r="C76" s="12" t="s">
        <v>84</v>
      </c>
      <c r="D76" s="22"/>
      <c r="E76" s="26">
        <f>8461.09</f>
        <v>8461.09</v>
      </c>
      <c r="F76" s="22"/>
      <c r="G76" s="26">
        <f>5273.88</f>
        <v>5273.88</v>
      </c>
      <c r="H76" s="22"/>
      <c r="I76" s="4">
        <v>6113.4</v>
      </c>
      <c r="J76" s="4">
        <f>100*6</f>
        <v>600</v>
      </c>
      <c r="K76" s="26">
        <f t="shared" si="10"/>
        <v>6713.4</v>
      </c>
      <c r="L76" s="39">
        <v>7000</v>
      </c>
      <c r="N76" s="39">
        <v>2800</v>
      </c>
      <c r="O76" s="39"/>
      <c r="P76" s="39">
        <v>700</v>
      </c>
      <c r="Q76" s="39">
        <v>3000</v>
      </c>
      <c r="R76" s="39">
        <v>500</v>
      </c>
      <c r="S76" s="39"/>
      <c r="T76" s="39"/>
      <c r="U76" s="11">
        <f t="shared" si="4"/>
        <v>0</v>
      </c>
    </row>
    <row r="77" spans="1:22" ht="20.100000000000001" customHeight="1" outlineLevel="2" x14ac:dyDescent="0.2">
      <c r="A77" s="51" t="s">
        <v>82</v>
      </c>
      <c r="B77" s="12">
        <v>631150</v>
      </c>
      <c r="C77" s="12" t="s">
        <v>85</v>
      </c>
      <c r="D77" s="22"/>
      <c r="E77" s="26">
        <f>751.85</f>
        <v>751.85</v>
      </c>
      <c r="F77" s="22"/>
      <c r="G77" s="26"/>
      <c r="H77" s="22"/>
      <c r="I77" s="4">
        <v>271.04000000000002</v>
      </c>
      <c r="J77" s="4">
        <v>0</v>
      </c>
      <c r="K77" s="26">
        <f t="shared" si="10"/>
        <v>271.04000000000002</v>
      </c>
      <c r="L77" s="39">
        <v>550</v>
      </c>
      <c r="N77" s="39">
        <v>500</v>
      </c>
      <c r="O77" s="39"/>
      <c r="P77" s="39">
        <v>50</v>
      </c>
      <c r="Q77" s="39"/>
      <c r="R77" s="39"/>
      <c r="S77" s="39"/>
      <c r="T77" s="39"/>
      <c r="U77" s="11">
        <f t="shared" si="4"/>
        <v>0</v>
      </c>
    </row>
    <row r="78" spans="1:22" ht="20.100000000000001" customHeight="1" outlineLevel="2" x14ac:dyDescent="0.2">
      <c r="A78" s="51" t="s">
        <v>82</v>
      </c>
      <c r="B78" s="12">
        <v>631160</v>
      </c>
      <c r="C78" s="12" t="s">
        <v>181</v>
      </c>
      <c r="D78" s="22"/>
      <c r="E78" s="26"/>
      <c r="F78" s="22"/>
      <c r="G78" s="26"/>
      <c r="H78" s="22"/>
      <c r="I78" s="4">
        <v>26.56</v>
      </c>
      <c r="J78" s="4">
        <v>0</v>
      </c>
      <c r="K78" s="26">
        <f t="shared" si="10"/>
        <v>26.56</v>
      </c>
      <c r="L78" s="39">
        <v>0</v>
      </c>
      <c r="N78" s="39"/>
      <c r="O78" s="39"/>
      <c r="P78" s="39"/>
      <c r="Q78" s="39"/>
      <c r="R78" s="39"/>
      <c r="S78" s="39"/>
      <c r="T78" s="39"/>
      <c r="U78" s="11">
        <f t="shared" si="4"/>
        <v>0</v>
      </c>
    </row>
    <row r="79" spans="1:22" ht="20.100000000000001" customHeight="1" outlineLevel="2" x14ac:dyDescent="0.2">
      <c r="A79" s="45" t="s">
        <v>82</v>
      </c>
      <c r="B79" s="12">
        <v>631200</v>
      </c>
      <c r="C79" s="12" t="s">
        <v>139</v>
      </c>
      <c r="D79" s="22"/>
      <c r="E79" s="26">
        <f>733.63</f>
        <v>733.63</v>
      </c>
      <c r="F79" s="22"/>
      <c r="G79" s="26">
        <f>498.74</f>
        <v>498.74</v>
      </c>
      <c r="H79" s="22"/>
      <c r="I79" s="4">
        <f>530.49+13.24</f>
        <v>543.73</v>
      </c>
      <c r="J79" s="4">
        <v>200</v>
      </c>
      <c r="K79" s="26">
        <f t="shared" si="10"/>
        <v>743.73</v>
      </c>
      <c r="L79" s="39">
        <v>800</v>
      </c>
      <c r="N79" s="39">
        <v>500</v>
      </c>
      <c r="O79" s="39"/>
      <c r="P79" s="39">
        <v>100</v>
      </c>
      <c r="Q79" s="39"/>
      <c r="R79" s="39">
        <v>200</v>
      </c>
      <c r="S79" s="39"/>
      <c r="T79" s="39"/>
      <c r="U79" s="11">
        <f t="shared" si="4"/>
        <v>0</v>
      </c>
    </row>
    <row r="80" spans="1:22" s="6" customFormat="1" ht="20.100000000000001" customHeight="1" outlineLevel="1" x14ac:dyDescent="0.2">
      <c r="A80" s="47" t="s">
        <v>154</v>
      </c>
      <c r="B80" s="1"/>
      <c r="C80" s="1"/>
      <c r="D80" s="21">
        <v>7900</v>
      </c>
      <c r="E80" s="25">
        <f>SUBTOTAL(9,E75:E79)</f>
        <v>9961.57</v>
      </c>
      <c r="F80" s="21">
        <v>7900</v>
      </c>
      <c r="G80" s="25">
        <f>SUBTOTAL(9,G75:G79)</f>
        <v>5772.62</v>
      </c>
      <c r="H80" s="21">
        <v>7900</v>
      </c>
      <c r="I80" s="14">
        <f>SUBTOTAL(9,I75:I79)</f>
        <v>6947.4</v>
      </c>
      <c r="J80" s="14">
        <f>SUBTOTAL(9,J75:J79)</f>
        <v>800</v>
      </c>
      <c r="K80" s="25">
        <f>SUBTOTAL(9,K75:K79)</f>
        <v>7747.4</v>
      </c>
      <c r="L80" s="13">
        <f>SUBTOTAL(9,L75:L79)</f>
        <v>8350</v>
      </c>
      <c r="M80" s="6" t="s">
        <v>227</v>
      </c>
      <c r="N80" s="13">
        <f t="shared" ref="N80:T80" si="11">SUBTOTAL(9,N75:N79)</f>
        <v>3800</v>
      </c>
      <c r="O80" s="13">
        <f t="shared" si="11"/>
        <v>0</v>
      </c>
      <c r="P80" s="13">
        <f t="shared" si="11"/>
        <v>850</v>
      </c>
      <c r="Q80" s="13">
        <f t="shared" si="11"/>
        <v>3000</v>
      </c>
      <c r="R80" s="13">
        <f t="shared" si="11"/>
        <v>700</v>
      </c>
      <c r="S80" s="13">
        <f t="shared" si="11"/>
        <v>0</v>
      </c>
      <c r="T80" s="13">
        <f t="shared" si="11"/>
        <v>0</v>
      </c>
      <c r="U80" s="11">
        <f t="shared" si="4"/>
        <v>0</v>
      </c>
      <c r="V80" s="44">
        <f>+L80-Budget!L84</f>
        <v>7890</v>
      </c>
    </row>
    <row r="81" spans="1:22" ht="20.100000000000001" customHeight="1" outlineLevel="2" x14ac:dyDescent="0.2">
      <c r="A81" s="51" t="s">
        <v>137</v>
      </c>
      <c r="B81" s="12">
        <v>631400</v>
      </c>
      <c r="C81" s="12" t="s">
        <v>8</v>
      </c>
      <c r="D81" s="22"/>
      <c r="E81" s="26">
        <f>900</f>
        <v>900</v>
      </c>
      <c r="F81" s="22"/>
      <c r="G81" s="26">
        <f>1300</f>
        <v>1300</v>
      </c>
      <c r="H81" s="22"/>
      <c r="I81" s="4">
        <v>319</v>
      </c>
      <c r="J81" s="4">
        <v>500</v>
      </c>
      <c r="K81" s="26">
        <f t="shared" ref="K81:K82" si="12">+SUM(I81:J81)</f>
        <v>819</v>
      </c>
      <c r="L81" s="39">
        <v>800</v>
      </c>
      <c r="M81" s="2" t="s">
        <v>226</v>
      </c>
      <c r="N81" s="39"/>
      <c r="O81" s="39"/>
      <c r="P81" s="39">
        <v>300</v>
      </c>
      <c r="Q81" s="39"/>
      <c r="R81" s="39">
        <v>500</v>
      </c>
      <c r="S81" s="39"/>
      <c r="T81" s="39"/>
      <c r="U81" s="11">
        <f t="shared" si="4"/>
        <v>0</v>
      </c>
    </row>
    <row r="82" spans="1:22" ht="20.100000000000001" customHeight="1" outlineLevel="2" x14ac:dyDescent="0.2">
      <c r="A82" s="51" t="s">
        <v>137</v>
      </c>
      <c r="B82" s="12">
        <v>631510</v>
      </c>
      <c r="C82" s="12" t="s">
        <v>9</v>
      </c>
      <c r="D82" s="22"/>
      <c r="E82" s="26">
        <f>5090.05</f>
        <v>5090.05</v>
      </c>
      <c r="F82" s="22"/>
      <c r="G82" s="26">
        <f>1089.26</f>
        <v>1089.26</v>
      </c>
      <c r="H82" s="22"/>
      <c r="I82" s="4">
        <v>1940.88</v>
      </c>
      <c r="J82" s="4">
        <v>1000</v>
      </c>
      <c r="K82" s="26">
        <f t="shared" si="12"/>
        <v>2940.88</v>
      </c>
      <c r="L82" s="39">
        <v>2500</v>
      </c>
      <c r="M82" s="2" t="s">
        <v>226</v>
      </c>
      <c r="N82" s="39">
        <v>2000</v>
      </c>
      <c r="O82" s="39"/>
      <c r="P82" s="39"/>
      <c r="Q82" s="39"/>
      <c r="R82" s="39">
        <v>500</v>
      </c>
      <c r="S82" s="39"/>
      <c r="T82" s="39"/>
      <c r="U82" s="11">
        <f t="shared" si="4"/>
        <v>0</v>
      </c>
    </row>
    <row r="83" spans="1:22" s="6" customFormat="1" ht="20.100000000000001" customHeight="1" outlineLevel="1" x14ac:dyDescent="0.2">
      <c r="A83" s="50" t="s">
        <v>155</v>
      </c>
      <c r="B83" s="1"/>
      <c r="C83" s="1"/>
      <c r="D83" s="21">
        <v>2300</v>
      </c>
      <c r="E83" s="25">
        <f>SUBTOTAL(9,E81:E82)</f>
        <v>5990.05</v>
      </c>
      <c r="F83" s="21">
        <v>2300</v>
      </c>
      <c r="G83" s="25">
        <f>SUBTOTAL(9,G81:G82)</f>
        <v>2389.2600000000002</v>
      </c>
      <c r="H83" s="21">
        <v>2300</v>
      </c>
      <c r="I83" s="14">
        <f>SUBTOTAL(9,I81:I82)</f>
        <v>2259.88</v>
      </c>
      <c r="J83" s="14">
        <f>SUBTOTAL(9,J81:J82)</f>
        <v>1500</v>
      </c>
      <c r="K83" s="25">
        <f>SUBTOTAL(9,K81:K82)</f>
        <v>3759.88</v>
      </c>
      <c r="L83" s="13">
        <f>SUBTOTAL(9,L81:L82)</f>
        <v>3300</v>
      </c>
      <c r="N83" s="13">
        <f t="shared" ref="N83:T83" si="13">SUBTOTAL(9,N81:N82)</f>
        <v>2000</v>
      </c>
      <c r="O83" s="13">
        <f t="shared" si="13"/>
        <v>0</v>
      </c>
      <c r="P83" s="13">
        <f t="shared" si="13"/>
        <v>300</v>
      </c>
      <c r="Q83" s="13">
        <f t="shared" si="13"/>
        <v>0</v>
      </c>
      <c r="R83" s="13">
        <f t="shared" si="13"/>
        <v>1000</v>
      </c>
      <c r="S83" s="13">
        <f t="shared" si="13"/>
        <v>0</v>
      </c>
      <c r="T83" s="13">
        <f t="shared" si="13"/>
        <v>0</v>
      </c>
      <c r="U83" s="11">
        <f t="shared" si="4"/>
        <v>0</v>
      </c>
      <c r="V83" s="44">
        <f>+L83-Budget!L87</f>
        <v>1100</v>
      </c>
    </row>
    <row r="84" spans="1:22" ht="20.100000000000001" customHeight="1" outlineLevel="2" x14ac:dyDescent="0.2">
      <c r="A84" s="51" t="s">
        <v>138</v>
      </c>
      <c r="B84" s="12">
        <v>632110</v>
      </c>
      <c r="C84" s="12" t="s">
        <v>86</v>
      </c>
      <c r="D84" s="22"/>
      <c r="E84" s="26">
        <f>3113.78</f>
        <v>3113.78</v>
      </c>
      <c r="F84" s="22"/>
      <c r="G84" s="26">
        <f>1626.22</f>
        <v>1626.22</v>
      </c>
      <c r="H84" s="22"/>
      <c r="I84" s="4">
        <v>1309.24</v>
      </c>
      <c r="J84" s="4">
        <f>+I84/9*3</f>
        <v>436.4133333333333</v>
      </c>
      <c r="K84" s="26">
        <f t="shared" ref="K84:K92" si="14">+SUM(I84:J84)</f>
        <v>1745.6533333333332</v>
      </c>
      <c r="L84" s="39">
        <f t="shared" ref="L84:L92" si="15">ROUNDUP(K84*1.15,0)</f>
        <v>2008</v>
      </c>
      <c r="N84" s="39"/>
      <c r="O84" s="39"/>
      <c r="P84" s="39"/>
      <c r="Q84" s="39"/>
      <c r="R84" s="39"/>
      <c r="S84" s="39">
        <f t="shared" ref="S84:S92" si="16">+L84</f>
        <v>2008</v>
      </c>
      <c r="T84" s="39"/>
      <c r="U84" s="11">
        <f t="shared" si="4"/>
        <v>0</v>
      </c>
    </row>
    <row r="85" spans="1:22" ht="20.100000000000001" customHeight="1" outlineLevel="2" x14ac:dyDescent="0.2">
      <c r="A85" s="51" t="s">
        <v>138</v>
      </c>
      <c r="B85" s="12">
        <v>632140</v>
      </c>
      <c r="C85" s="12" t="s">
        <v>87</v>
      </c>
      <c r="D85" s="22"/>
      <c r="E85" s="26">
        <f>7324.41</f>
        <v>7324.41</v>
      </c>
      <c r="F85" s="22"/>
      <c r="G85" s="26">
        <f>9186.17</f>
        <v>9186.17</v>
      </c>
      <c r="H85" s="22"/>
      <c r="I85" s="4">
        <v>7458.11</v>
      </c>
      <c r="J85" s="4">
        <f>+I85/9*3</f>
        <v>2486.0366666666669</v>
      </c>
      <c r="K85" s="26">
        <f t="shared" si="14"/>
        <v>9944.1466666666674</v>
      </c>
      <c r="L85" s="39">
        <f t="shared" si="15"/>
        <v>11436</v>
      </c>
      <c r="N85" s="39"/>
      <c r="O85" s="39"/>
      <c r="P85" s="39"/>
      <c r="Q85" s="39"/>
      <c r="R85" s="39"/>
      <c r="S85" s="39">
        <f t="shared" si="16"/>
        <v>11436</v>
      </c>
      <c r="T85" s="39"/>
      <c r="U85" s="11">
        <f t="shared" si="4"/>
        <v>0</v>
      </c>
    </row>
    <row r="86" spans="1:22" ht="20.100000000000001" customHeight="1" outlineLevel="2" x14ac:dyDescent="0.2">
      <c r="A86" s="51" t="s">
        <v>138</v>
      </c>
      <c r="B86" s="12">
        <v>632150</v>
      </c>
      <c r="C86" s="12" t="s">
        <v>88</v>
      </c>
      <c r="D86" s="22"/>
      <c r="E86" s="26">
        <f>432.37</f>
        <v>432.37</v>
      </c>
      <c r="F86" s="22"/>
      <c r="G86" s="26">
        <f>380.3</f>
        <v>380.3</v>
      </c>
      <c r="H86" s="22"/>
      <c r="I86" s="4">
        <v>270.86</v>
      </c>
      <c r="J86" s="4">
        <f>+I86/9*3</f>
        <v>90.286666666666662</v>
      </c>
      <c r="K86" s="26">
        <f t="shared" si="14"/>
        <v>361.14666666666665</v>
      </c>
      <c r="L86" s="39">
        <f t="shared" si="15"/>
        <v>416</v>
      </c>
      <c r="N86" s="39"/>
      <c r="O86" s="39"/>
      <c r="P86" s="39"/>
      <c r="Q86" s="39"/>
      <c r="R86" s="39"/>
      <c r="S86" s="39">
        <f t="shared" si="16"/>
        <v>416</v>
      </c>
      <c r="T86" s="39"/>
      <c r="U86" s="11">
        <f t="shared" si="4"/>
        <v>0</v>
      </c>
    </row>
    <row r="87" spans="1:22" ht="20.100000000000001" customHeight="1" outlineLevel="2" x14ac:dyDescent="0.2">
      <c r="A87" s="51" t="s">
        <v>138</v>
      </c>
      <c r="B87" s="12">
        <v>632170</v>
      </c>
      <c r="C87" s="12" t="s">
        <v>89</v>
      </c>
      <c r="D87" s="22"/>
      <c r="E87" s="26">
        <f>19605.95</f>
        <v>19605.95</v>
      </c>
      <c r="F87" s="22"/>
      <c r="G87" s="26">
        <f>20037.13</f>
        <v>20037.13</v>
      </c>
      <c r="H87" s="22"/>
      <c r="I87" s="4">
        <v>15042.41</v>
      </c>
      <c r="J87" s="4">
        <f>+I87/9*3</f>
        <v>5014.1366666666672</v>
      </c>
      <c r="K87" s="26">
        <f t="shared" si="14"/>
        <v>20056.546666666669</v>
      </c>
      <c r="L87" s="39">
        <f t="shared" si="15"/>
        <v>23066</v>
      </c>
      <c r="N87" s="39"/>
      <c r="O87" s="39"/>
      <c r="P87" s="39"/>
      <c r="Q87" s="39"/>
      <c r="R87" s="39"/>
      <c r="S87" s="39">
        <f t="shared" si="16"/>
        <v>23066</v>
      </c>
      <c r="T87" s="39"/>
      <c r="U87" s="11">
        <f t="shared" si="4"/>
        <v>0</v>
      </c>
    </row>
    <row r="88" spans="1:22" ht="20.100000000000001" customHeight="1" outlineLevel="2" x14ac:dyDescent="0.2">
      <c r="A88" s="51" t="s">
        <v>138</v>
      </c>
      <c r="B88" s="12">
        <v>632190</v>
      </c>
      <c r="C88" s="12" t="s">
        <v>90</v>
      </c>
      <c r="D88" s="22"/>
      <c r="E88" s="26">
        <f>206.82</f>
        <v>206.82</v>
      </c>
      <c r="F88" s="22"/>
      <c r="G88" s="26">
        <f>324.43</f>
        <v>324.43</v>
      </c>
      <c r="H88" s="22"/>
      <c r="I88" s="4">
        <v>244.07</v>
      </c>
      <c r="J88" s="4">
        <f>+I88/9*3</f>
        <v>81.356666666666669</v>
      </c>
      <c r="K88" s="26">
        <f t="shared" si="14"/>
        <v>325.42666666666668</v>
      </c>
      <c r="L88" s="39">
        <f t="shared" si="15"/>
        <v>375</v>
      </c>
      <c r="N88" s="39"/>
      <c r="O88" s="39"/>
      <c r="P88" s="39"/>
      <c r="Q88" s="39"/>
      <c r="R88" s="39"/>
      <c r="S88" s="39">
        <f t="shared" si="16"/>
        <v>375</v>
      </c>
      <c r="T88" s="39"/>
      <c r="U88" s="11">
        <f t="shared" si="4"/>
        <v>0</v>
      </c>
    </row>
    <row r="89" spans="1:22" ht="20.100000000000001" customHeight="1" outlineLevel="2" x14ac:dyDescent="0.2">
      <c r="A89" s="51" t="s">
        <v>138</v>
      </c>
      <c r="B89" s="12">
        <v>632199</v>
      </c>
      <c r="C89" s="12" t="s">
        <v>91</v>
      </c>
      <c r="D89" s="22"/>
      <c r="E89" s="26">
        <f>27.03</f>
        <v>27.03</v>
      </c>
      <c r="F89" s="22"/>
      <c r="G89" s="26"/>
      <c r="H89" s="22"/>
      <c r="I89" s="4"/>
      <c r="J89" s="4">
        <v>63.42</v>
      </c>
      <c r="K89" s="26">
        <f t="shared" si="14"/>
        <v>63.42</v>
      </c>
      <c r="L89" s="39">
        <f t="shared" si="15"/>
        <v>73</v>
      </c>
      <c r="N89" s="39"/>
      <c r="O89" s="39"/>
      <c r="P89" s="39"/>
      <c r="Q89" s="39"/>
      <c r="R89" s="39"/>
      <c r="S89" s="39">
        <f t="shared" si="16"/>
        <v>73</v>
      </c>
      <c r="T89" s="39"/>
      <c r="U89" s="11">
        <f t="shared" si="4"/>
        <v>0</v>
      </c>
    </row>
    <row r="90" spans="1:22" ht="20.100000000000001" customHeight="1" outlineLevel="2" x14ac:dyDescent="0.2">
      <c r="A90" s="51" t="s">
        <v>138</v>
      </c>
      <c r="B90" s="12">
        <v>632320</v>
      </c>
      <c r="C90" s="12" t="s">
        <v>95</v>
      </c>
      <c r="D90" s="22"/>
      <c r="E90" s="26">
        <f>493.65</f>
        <v>493.65</v>
      </c>
      <c r="F90" s="22"/>
      <c r="G90" s="26">
        <f>474.8</f>
        <v>474.8</v>
      </c>
      <c r="H90" s="22"/>
      <c r="I90" s="4">
        <v>323.88</v>
      </c>
      <c r="J90" s="4">
        <f>+I90/9*3</f>
        <v>107.96</v>
      </c>
      <c r="K90" s="26">
        <f t="shared" si="14"/>
        <v>431.84</v>
      </c>
      <c r="L90" s="39">
        <f t="shared" si="15"/>
        <v>497</v>
      </c>
      <c r="N90" s="39"/>
      <c r="O90" s="39"/>
      <c r="P90" s="39"/>
      <c r="Q90" s="39"/>
      <c r="R90" s="39"/>
      <c r="S90" s="39">
        <f t="shared" si="16"/>
        <v>497</v>
      </c>
      <c r="T90" s="39"/>
      <c r="U90" s="11">
        <f t="shared" si="4"/>
        <v>0</v>
      </c>
    </row>
    <row r="91" spans="1:22" ht="20.100000000000001" customHeight="1" outlineLevel="2" x14ac:dyDescent="0.2">
      <c r="A91" s="51" t="s">
        <v>138</v>
      </c>
      <c r="B91" s="12">
        <v>632330</v>
      </c>
      <c r="C91" s="12" t="s">
        <v>96</v>
      </c>
      <c r="D91" s="22"/>
      <c r="E91" s="26">
        <f>2000</f>
        <v>2000</v>
      </c>
      <c r="F91" s="22"/>
      <c r="G91" s="26">
        <f>2488.08</f>
        <v>2488.08</v>
      </c>
      <c r="H91" s="22"/>
      <c r="I91" s="4">
        <v>982.52</v>
      </c>
      <c r="J91" s="4">
        <f>+I91/9*3</f>
        <v>327.50666666666666</v>
      </c>
      <c r="K91" s="26">
        <f t="shared" si="14"/>
        <v>1310.0266666666666</v>
      </c>
      <c r="L91" s="39">
        <f t="shared" si="15"/>
        <v>1507</v>
      </c>
      <c r="N91" s="39"/>
      <c r="O91" s="39"/>
      <c r="P91" s="39"/>
      <c r="Q91" s="39"/>
      <c r="R91" s="39"/>
      <c r="S91" s="39">
        <f t="shared" si="16"/>
        <v>1507</v>
      </c>
      <c r="T91" s="39"/>
      <c r="U91" s="11">
        <f t="shared" si="4"/>
        <v>0</v>
      </c>
    </row>
    <row r="92" spans="1:22" ht="20.100000000000001" customHeight="1" outlineLevel="2" x14ac:dyDescent="0.2">
      <c r="A92" s="51" t="s">
        <v>138</v>
      </c>
      <c r="B92" s="12">
        <v>632340</v>
      </c>
      <c r="C92" s="12" t="s">
        <v>97</v>
      </c>
      <c r="D92" s="22"/>
      <c r="E92" s="26">
        <f>508.35</f>
        <v>508.35</v>
      </c>
      <c r="F92" s="22"/>
      <c r="G92" s="26">
        <f>489.48</f>
        <v>489.48</v>
      </c>
      <c r="H92" s="22"/>
      <c r="I92" s="4">
        <v>434.25</v>
      </c>
      <c r="J92" s="4">
        <f>+I92/9*3</f>
        <v>144.75</v>
      </c>
      <c r="K92" s="26">
        <f t="shared" si="14"/>
        <v>579</v>
      </c>
      <c r="L92" s="39">
        <f t="shared" si="15"/>
        <v>666</v>
      </c>
      <c r="N92" s="39"/>
      <c r="O92" s="39"/>
      <c r="P92" s="39"/>
      <c r="Q92" s="39"/>
      <c r="R92" s="39"/>
      <c r="S92" s="39">
        <f t="shared" si="16"/>
        <v>666</v>
      </c>
      <c r="T92" s="39"/>
      <c r="U92" s="11">
        <f t="shared" si="4"/>
        <v>0</v>
      </c>
    </row>
    <row r="93" spans="1:22" s="6" customFormat="1" ht="20.100000000000001" customHeight="1" outlineLevel="1" x14ac:dyDescent="0.2">
      <c r="A93" s="50" t="s">
        <v>156</v>
      </c>
      <c r="B93" s="1"/>
      <c r="C93" s="1"/>
      <c r="D93" s="21">
        <v>32725</v>
      </c>
      <c r="E93" s="25">
        <f>SUBTOTAL(9,E84:E92)</f>
        <v>33712.36</v>
      </c>
      <c r="F93" s="21">
        <v>32725</v>
      </c>
      <c r="G93" s="25">
        <f>SUBTOTAL(9,G84:G92)</f>
        <v>35006.61</v>
      </c>
      <c r="H93" s="21">
        <v>39051</v>
      </c>
      <c r="I93" s="14">
        <f>SUBTOTAL(9,I84:I92)</f>
        <v>26065.340000000004</v>
      </c>
      <c r="J93" s="14">
        <f>SUBTOTAL(9,J84:J92)</f>
        <v>8751.8666666666668</v>
      </c>
      <c r="K93" s="25">
        <f>SUBTOTAL(9,K84:K92)</f>
        <v>34817.206666666665</v>
      </c>
      <c r="L93" s="13">
        <f>SUBTOTAL(9,L84:L92)</f>
        <v>40044</v>
      </c>
      <c r="M93" s="6" t="s">
        <v>225</v>
      </c>
      <c r="N93" s="13">
        <f t="shared" ref="N93:T93" si="17">SUBTOTAL(9,N84:N92)</f>
        <v>0</v>
      </c>
      <c r="O93" s="13">
        <f t="shared" si="17"/>
        <v>0</v>
      </c>
      <c r="P93" s="13">
        <f t="shared" si="17"/>
        <v>0</v>
      </c>
      <c r="Q93" s="13">
        <f t="shared" si="17"/>
        <v>0</v>
      </c>
      <c r="R93" s="13">
        <f t="shared" si="17"/>
        <v>0</v>
      </c>
      <c r="S93" s="13">
        <f t="shared" si="17"/>
        <v>40044</v>
      </c>
      <c r="T93" s="13">
        <f t="shared" si="17"/>
        <v>0</v>
      </c>
      <c r="U93" s="11">
        <f t="shared" si="4"/>
        <v>0</v>
      </c>
      <c r="V93" s="44">
        <f>+L93-Budget!L97</f>
        <v>34041.125999999997</v>
      </c>
    </row>
    <row r="94" spans="1:22" ht="20.100000000000001" customHeight="1" outlineLevel="2" x14ac:dyDescent="0.2">
      <c r="A94" s="51" t="s">
        <v>92</v>
      </c>
      <c r="B94" s="12">
        <v>632210</v>
      </c>
      <c r="C94" s="12" t="s">
        <v>93</v>
      </c>
      <c r="D94" s="22"/>
      <c r="E94" s="26">
        <f>26698.23</f>
        <v>26698.23</v>
      </c>
      <c r="F94" s="22"/>
      <c r="G94" s="26">
        <f>28170.86</f>
        <v>28170.86</v>
      </c>
      <c r="H94" s="22"/>
      <c r="I94" s="4">
        <v>24912.27</v>
      </c>
      <c r="J94" s="4">
        <f>+I94/10*2</f>
        <v>4982.4539999999997</v>
      </c>
      <c r="K94" s="26">
        <f t="shared" ref="K94:K95" si="18">+SUM(I94:J94)</f>
        <v>29894.724000000002</v>
      </c>
      <c r="L94" s="39">
        <f>ROUNDUP((2509.38+24.27)*12,0)</f>
        <v>30404</v>
      </c>
      <c r="N94" s="39"/>
      <c r="O94" s="39"/>
      <c r="P94" s="39"/>
      <c r="Q94" s="39"/>
      <c r="R94" s="39"/>
      <c r="S94" s="39">
        <f>+L94</f>
        <v>30404</v>
      </c>
      <c r="T94" s="39"/>
      <c r="U94" s="11">
        <f t="shared" si="4"/>
        <v>0</v>
      </c>
    </row>
    <row r="95" spans="1:22" ht="20.100000000000001" customHeight="1" outlineLevel="2" x14ac:dyDescent="0.2">
      <c r="A95" s="51" t="s">
        <v>92</v>
      </c>
      <c r="B95" s="12">
        <v>632230</v>
      </c>
      <c r="C95" s="12" t="s">
        <v>94</v>
      </c>
      <c r="D95" s="22"/>
      <c r="E95" s="26">
        <f>2329.97</f>
        <v>2329.9699999999998</v>
      </c>
      <c r="F95" s="22"/>
      <c r="G95" s="26">
        <f>1982.68</f>
        <v>1982.68</v>
      </c>
      <c r="H95" s="22"/>
      <c r="I95" s="4">
        <v>1729.1</v>
      </c>
      <c r="J95" s="4">
        <f>+I95/10*2</f>
        <v>345.82</v>
      </c>
      <c r="K95" s="26">
        <f t="shared" si="18"/>
        <v>2074.92</v>
      </c>
      <c r="L95" s="39">
        <f>ROUNDUP((161.81+15.5)*12,0)</f>
        <v>2128</v>
      </c>
      <c r="N95" s="39"/>
      <c r="O95" s="39"/>
      <c r="P95" s="39"/>
      <c r="Q95" s="39"/>
      <c r="R95" s="39"/>
      <c r="S95" s="39">
        <f>+L95</f>
        <v>2128</v>
      </c>
      <c r="T95" s="39"/>
      <c r="U95" s="11">
        <f t="shared" si="4"/>
        <v>0</v>
      </c>
    </row>
    <row r="96" spans="1:22" s="6" customFormat="1" ht="20.100000000000001" customHeight="1" outlineLevel="1" x14ac:dyDescent="0.2">
      <c r="A96" s="50" t="s">
        <v>170</v>
      </c>
      <c r="B96" s="1"/>
      <c r="C96" s="1"/>
      <c r="D96" s="21">
        <v>29740</v>
      </c>
      <c r="E96" s="25">
        <f>SUBTOTAL(9,E94:E95)</f>
        <v>29028.2</v>
      </c>
      <c r="F96" s="21">
        <v>29740</v>
      </c>
      <c r="G96" s="25">
        <f>SUBTOTAL(9,G94:G95)</f>
        <v>30153.54</v>
      </c>
      <c r="H96" s="21">
        <v>30420</v>
      </c>
      <c r="I96" s="14">
        <f>SUBTOTAL(9,I94:I95)</f>
        <v>26641.37</v>
      </c>
      <c r="J96" s="14">
        <f>SUBTOTAL(9,J94:J95)</f>
        <v>5328.2739999999994</v>
      </c>
      <c r="K96" s="25">
        <f>SUBTOTAL(9,K94:K95)</f>
        <v>31969.644</v>
      </c>
      <c r="L96" s="13">
        <f>SUBTOTAL(9,L94:L95)</f>
        <v>32532</v>
      </c>
      <c r="N96" s="13">
        <f t="shared" ref="N96:T96" si="19">SUBTOTAL(9,N94:N95)</f>
        <v>0</v>
      </c>
      <c r="O96" s="13">
        <f t="shared" si="19"/>
        <v>0</v>
      </c>
      <c r="P96" s="13">
        <f t="shared" si="19"/>
        <v>0</v>
      </c>
      <c r="Q96" s="13">
        <f t="shared" si="19"/>
        <v>0</v>
      </c>
      <c r="R96" s="13">
        <f t="shared" si="19"/>
        <v>0</v>
      </c>
      <c r="S96" s="13">
        <f t="shared" si="19"/>
        <v>32532</v>
      </c>
      <c r="T96" s="13">
        <f t="shared" si="19"/>
        <v>0</v>
      </c>
      <c r="U96" s="11">
        <f t="shared" si="4"/>
        <v>0</v>
      </c>
      <c r="V96" s="44">
        <f>+L96-Budget!L100</f>
        <v>29417</v>
      </c>
    </row>
    <row r="97" spans="1:22" ht="20.100000000000001" customHeight="1" outlineLevel="2" x14ac:dyDescent="0.2">
      <c r="A97" s="51" t="s">
        <v>101</v>
      </c>
      <c r="B97" s="12">
        <v>632410</v>
      </c>
      <c r="C97" s="12" t="s">
        <v>99</v>
      </c>
      <c r="D97" s="22"/>
      <c r="E97" s="26">
        <f>3262.34</f>
        <v>3262.34</v>
      </c>
      <c r="F97" s="22"/>
      <c r="G97" s="26">
        <f>3986.6</f>
        <v>3986.6</v>
      </c>
      <c r="H97" s="22"/>
      <c r="I97" s="4">
        <v>2694.22</v>
      </c>
      <c r="J97" s="4">
        <f>300*4</f>
        <v>1200</v>
      </c>
      <c r="K97" s="26">
        <f t="shared" ref="K97:K103" si="20">+SUM(I97:J97)</f>
        <v>3894.22</v>
      </c>
      <c r="L97" s="39">
        <f>300*12</f>
        <v>3600</v>
      </c>
      <c r="N97" s="39"/>
      <c r="O97" s="39"/>
      <c r="P97" s="39"/>
      <c r="Q97" s="39"/>
      <c r="R97" s="39">
        <f>+L97</f>
        <v>3600</v>
      </c>
      <c r="S97" s="39"/>
      <c r="T97" s="39"/>
      <c r="U97" s="11">
        <f t="shared" si="4"/>
        <v>0</v>
      </c>
    </row>
    <row r="98" spans="1:22" ht="20.100000000000001" customHeight="1" outlineLevel="2" x14ac:dyDescent="0.2">
      <c r="A98" s="51" t="s">
        <v>101</v>
      </c>
      <c r="B98" s="12">
        <v>632430</v>
      </c>
      <c r="C98" s="12" t="s">
        <v>100</v>
      </c>
      <c r="D98" s="22"/>
      <c r="E98" s="26">
        <f>2896.43</f>
        <v>2896.43</v>
      </c>
      <c r="F98" s="22"/>
      <c r="G98" s="26">
        <f>3907.76</f>
        <v>3907.76</v>
      </c>
      <c r="H98" s="22"/>
      <c r="I98" s="4">
        <v>2299.5</v>
      </c>
      <c r="J98" s="4">
        <f>230*2</f>
        <v>460</v>
      </c>
      <c r="K98" s="26">
        <f t="shared" si="20"/>
        <v>2759.5</v>
      </c>
      <c r="L98" s="39">
        <f>250*12</f>
        <v>3000</v>
      </c>
      <c r="N98" s="39"/>
      <c r="O98" s="39"/>
      <c r="P98" s="39">
        <v>2000</v>
      </c>
      <c r="Q98" s="39"/>
      <c r="R98" s="39">
        <v>1000</v>
      </c>
      <c r="S98" s="39"/>
      <c r="T98" s="39"/>
      <c r="U98" s="11">
        <f t="shared" si="4"/>
        <v>0</v>
      </c>
    </row>
    <row r="99" spans="1:22" ht="20.100000000000001" customHeight="1" outlineLevel="2" x14ac:dyDescent="0.2">
      <c r="A99" s="51" t="s">
        <v>101</v>
      </c>
      <c r="B99" s="12">
        <v>632440</v>
      </c>
      <c r="C99" s="12" t="s">
        <v>102</v>
      </c>
      <c r="D99" s="22"/>
      <c r="E99" s="26">
        <f>702.25</f>
        <v>702.25</v>
      </c>
      <c r="F99" s="22"/>
      <c r="G99" s="26">
        <f>887.56</f>
        <v>887.56</v>
      </c>
      <c r="H99" s="22"/>
      <c r="I99" s="4">
        <v>1125</v>
      </c>
      <c r="J99" s="4">
        <v>0</v>
      </c>
      <c r="K99" s="26">
        <f t="shared" si="20"/>
        <v>1125</v>
      </c>
      <c r="L99" s="39">
        <v>1300</v>
      </c>
      <c r="M99" s="2" t="s">
        <v>218</v>
      </c>
      <c r="N99" s="39"/>
      <c r="O99" s="39"/>
      <c r="P99" s="39"/>
      <c r="Q99" s="39"/>
      <c r="R99" s="39">
        <v>1300</v>
      </c>
      <c r="S99" s="39"/>
      <c r="T99" s="39"/>
      <c r="U99" s="11">
        <f t="shared" si="4"/>
        <v>0</v>
      </c>
    </row>
    <row r="100" spans="1:22" ht="20.100000000000001" customHeight="1" outlineLevel="2" x14ac:dyDescent="0.2">
      <c r="A100" s="51" t="s">
        <v>101</v>
      </c>
      <c r="B100" s="12">
        <v>633100</v>
      </c>
      <c r="C100" s="12" t="s">
        <v>103</v>
      </c>
      <c r="D100" s="22"/>
      <c r="E100" s="26">
        <f>4517.95</f>
        <v>4517.95</v>
      </c>
      <c r="F100" s="22"/>
      <c r="G100" s="26">
        <f>5919.12</f>
        <v>5919.12</v>
      </c>
      <c r="H100" s="22"/>
      <c r="I100" s="4">
        <v>5259.59</v>
      </c>
      <c r="J100" s="4">
        <f>284*2</f>
        <v>568</v>
      </c>
      <c r="K100" s="26">
        <f t="shared" si="20"/>
        <v>5827.59</v>
      </c>
      <c r="L100" s="39">
        <f>550*12</f>
        <v>6600</v>
      </c>
      <c r="N100" s="39"/>
      <c r="O100" s="39"/>
      <c r="P100" s="39">
        <v>3200</v>
      </c>
      <c r="Q100" s="39"/>
      <c r="R100" s="39">
        <v>3400</v>
      </c>
      <c r="S100" s="39"/>
      <c r="T100" s="39"/>
      <c r="U100" s="11">
        <f t="shared" si="4"/>
        <v>0</v>
      </c>
    </row>
    <row r="101" spans="1:22" ht="20.100000000000001" customHeight="1" outlineLevel="2" x14ac:dyDescent="0.2">
      <c r="A101" s="51" t="s">
        <v>101</v>
      </c>
      <c r="B101" s="12">
        <v>633200</v>
      </c>
      <c r="C101" s="12" t="s">
        <v>104</v>
      </c>
      <c r="D101" s="22"/>
      <c r="E101" s="26">
        <f>3200.17</f>
        <v>3200.17</v>
      </c>
      <c r="F101" s="22"/>
      <c r="G101" s="26">
        <f>940.41</f>
        <v>940.41</v>
      </c>
      <c r="H101" s="22"/>
      <c r="I101" s="4">
        <v>613.85</v>
      </c>
      <c r="J101" s="4">
        <f>70*3</f>
        <v>210</v>
      </c>
      <c r="K101" s="26">
        <f t="shared" si="20"/>
        <v>823.85</v>
      </c>
      <c r="L101" s="39">
        <v>1000</v>
      </c>
      <c r="N101" s="39"/>
      <c r="O101" s="39"/>
      <c r="P101" s="39">
        <v>300</v>
      </c>
      <c r="Q101" s="39">
        <v>600</v>
      </c>
      <c r="R101" s="39">
        <v>100</v>
      </c>
      <c r="S101" s="39"/>
      <c r="T101" s="39"/>
      <c r="U101" s="11">
        <f t="shared" si="4"/>
        <v>0</v>
      </c>
    </row>
    <row r="102" spans="1:22" ht="20.100000000000001" customHeight="1" outlineLevel="2" x14ac:dyDescent="0.2">
      <c r="A102" s="51" t="s">
        <v>101</v>
      </c>
      <c r="B102" s="12">
        <v>633300</v>
      </c>
      <c r="C102" s="12" t="s">
        <v>105</v>
      </c>
      <c r="D102" s="22"/>
      <c r="E102" s="26">
        <f>259.07</f>
        <v>259.07</v>
      </c>
      <c r="F102" s="22"/>
      <c r="G102" s="26">
        <f>259.07</f>
        <v>259.07</v>
      </c>
      <c r="H102" s="22"/>
      <c r="I102" s="4">
        <v>259.07</v>
      </c>
      <c r="J102" s="4"/>
      <c r="K102" s="26">
        <f t="shared" si="20"/>
        <v>259.07</v>
      </c>
      <c r="L102" s="39">
        <v>350</v>
      </c>
      <c r="N102" s="39"/>
      <c r="O102" s="39"/>
      <c r="P102" s="39">
        <f>+L102</f>
        <v>350</v>
      </c>
      <c r="Q102" s="39"/>
      <c r="R102" s="39"/>
      <c r="S102" s="39"/>
      <c r="T102" s="39"/>
      <c r="U102" s="11">
        <f t="shared" si="4"/>
        <v>0</v>
      </c>
    </row>
    <row r="103" spans="1:22" ht="20.100000000000001" customHeight="1" outlineLevel="2" x14ac:dyDescent="0.2">
      <c r="A103" s="51" t="s">
        <v>101</v>
      </c>
      <c r="B103" s="12">
        <v>633400</v>
      </c>
      <c r="C103" s="12" t="s">
        <v>106</v>
      </c>
      <c r="D103" s="22"/>
      <c r="E103" s="26">
        <f>1972.57</f>
        <v>1972.57</v>
      </c>
      <c r="F103" s="22"/>
      <c r="G103" s="26">
        <f>399.5</f>
        <v>399.5</v>
      </c>
      <c r="H103" s="22"/>
      <c r="I103" s="4">
        <v>2400.44</v>
      </c>
      <c r="J103" s="4">
        <v>100</v>
      </c>
      <c r="K103" s="26">
        <f t="shared" si="20"/>
        <v>2500.44</v>
      </c>
      <c r="L103" s="39">
        <v>1000</v>
      </c>
      <c r="N103" s="39"/>
      <c r="O103" s="39"/>
      <c r="P103" s="39">
        <v>333</v>
      </c>
      <c r="Q103" s="39">
        <v>333</v>
      </c>
      <c r="R103" s="39">
        <v>334</v>
      </c>
      <c r="S103" s="39"/>
      <c r="T103" s="39"/>
      <c r="U103" s="11">
        <f t="shared" si="4"/>
        <v>0</v>
      </c>
    </row>
    <row r="104" spans="1:22" s="6" customFormat="1" ht="20.100000000000001" customHeight="1" outlineLevel="1" x14ac:dyDescent="0.2">
      <c r="A104" s="50" t="s">
        <v>157</v>
      </c>
      <c r="B104" s="1"/>
      <c r="C104" s="1"/>
      <c r="D104" s="21">
        <v>11480</v>
      </c>
      <c r="E104" s="25">
        <f>SUBTOTAL(9,E97:E103)</f>
        <v>16810.780000000002</v>
      </c>
      <c r="F104" s="21">
        <v>11480</v>
      </c>
      <c r="G104" s="25">
        <f>SUBTOTAL(9,G97:G103)</f>
        <v>16300.02</v>
      </c>
      <c r="H104" s="21">
        <v>16220</v>
      </c>
      <c r="I104" s="14">
        <f>SUBTOTAL(9,I97:I103)</f>
        <v>14651.67</v>
      </c>
      <c r="J104" s="14">
        <f>SUBTOTAL(9,J97:J103)</f>
        <v>2538</v>
      </c>
      <c r="K104" s="25">
        <f>SUBTOTAL(9,K97:K103)</f>
        <v>17189.669999999998</v>
      </c>
      <c r="L104" s="13">
        <f>SUBTOTAL(9,L97:L103)</f>
        <v>16850</v>
      </c>
      <c r="N104" s="13">
        <f t="shared" ref="N104:T104" si="21">SUBTOTAL(9,N97:N103)</f>
        <v>0</v>
      </c>
      <c r="O104" s="13">
        <f t="shared" si="21"/>
        <v>0</v>
      </c>
      <c r="P104" s="13">
        <f t="shared" si="21"/>
        <v>6183</v>
      </c>
      <c r="Q104" s="13">
        <f t="shared" si="21"/>
        <v>933</v>
      </c>
      <c r="R104" s="13">
        <f t="shared" si="21"/>
        <v>9734</v>
      </c>
      <c r="S104" s="13">
        <f t="shared" si="21"/>
        <v>0</v>
      </c>
      <c r="T104" s="13">
        <f t="shared" si="21"/>
        <v>0</v>
      </c>
      <c r="U104" s="11">
        <f t="shared" si="4"/>
        <v>0</v>
      </c>
      <c r="V104" s="44">
        <f>+L104-Budget!L109</f>
        <v>14541.92</v>
      </c>
    </row>
    <row r="105" spans="1:22" ht="20.100000000000001" customHeight="1" outlineLevel="2" x14ac:dyDescent="0.2">
      <c r="A105" s="51" t="s">
        <v>107</v>
      </c>
      <c r="B105" s="12">
        <v>635100</v>
      </c>
      <c r="C105" s="12" t="s">
        <v>108</v>
      </c>
      <c r="D105" s="22"/>
      <c r="E105" s="26">
        <f>10680.21</f>
        <v>10680.21</v>
      </c>
      <c r="F105" s="22"/>
      <c r="G105" s="26">
        <f>9100.55</f>
        <v>9100.5499999999993</v>
      </c>
      <c r="H105" s="22"/>
      <c r="I105" s="4">
        <v>7641.87</v>
      </c>
      <c r="J105" s="4">
        <f>+I105/10*3</f>
        <v>2292.5610000000001</v>
      </c>
      <c r="K105" s="26">
        <f t="shared" ref="K105:K111" si="22">+SUM(I105:J105)</f>
        <v>9934.4310000000005</v>
      </c>
      <c r="L105" s="39">
        <v>11000</v>
      </c>
      <c r="M105" s="2" t="s">
        <v>224</v>
      </c>
      <c r="N105" s="39"/>
      <c r="O105" s="39"/>
      <c r="P105" s="39"/>
      <c r="Q105" s="39"/>
      <c r="R105" s="39">
        <v>10000</v>
      </c>
      <c r="S105" s="39">
        <v>1000</v>
      </c>
      <c r="T105" s="39"/>
      <c r="U105" s="11">
        <f t="shared" si="4"/>
        <v>0</v>
      </c>
    </row>
    <row r="106" spans="1:22" ht="20.100000000000001" customHeight="1" outlineLevel="2" x14ac:dyDescent="0.2">
      <c r="A106" s="51" t="s">
        <v>107</v>
      </c>
      <c r="B106" s="12">
        <v>635210</v>
      </c>
      <c r="C106" s="12" t="s">
        <v>109</v>
      </c>
      <c r="D106" s="22"/>
      <c r="E106" s="26">
        <f>19149.03</f>
        <v>19149.03</v>
      </c>
      <c r="F106" s="22"/>
      <c r="G106" s="26">
        <f>523.12</f>
        <v>523.12</v>
      </c>
      <c r="H106" s="22"/>
      <c r="I106" s="4">
        <v>1619.4</v>
      </c>
      <c r="J106" s="4">
        <v>1000</v>
      </c>
      <c r="K106" s="26">
        <f t="shared" si="22"/>
        <v>2619.4</v>
      </c>
      <c r="L106" s="39">
        <v>1000</v>
      </c>
      <c r="N106" s="39"/>
      <c r="O106" s="39"/>
      <c r="P106" s="39"/>
      <c r="Q106" s="39"/>
      <c r="R106" s="39"/>
      <c r="S106" s="39">
        <v>1000</v>
      </c>
      <c r="T106" s="39"/>
      <c r="U106" s="11">
        <f t="shared" si="4"/>
        <v>0</v>
      </c>
    </row>
    <row r="107" spans="1:22" ht="20.100000000000001" customHeight="1" outlineLevel="2" x14ac:dyDescent="0.2">
      <c r="A107" s="51" t="s">
        <v>107</v>
      </c>
      <c r="B107" s="12">
        <v>635220</v>
      </c>
      <c r="C107" s="12" t="s">
        <v>110</v>
      </c>
      <c r="D107" s="22"/>
      <c r="E107" s="26">
        <f>6943.81</f>
        <v>6943.81</v>
      </c>
      <c r="F107" s="22"/>
      <c r="G107" s="26">
        <f>4095.23</f>
        <v>4095.23</v>
      </c>
      <c r="H107" s="22"/>
      <c r="I107" s="4">
        <v>2352.63</v>
      </c>
      <c r="J107" s="4">
        <f>+I107/8*4</f>
        <v>1176.3150000000001</v>
      </c>
      <c r="K107" s="26">
        <f t="shared" si="22"/>
        <v>3528.9450000000002</v>
      </c>
      <c r="L107" s="39">
        <v>3500</v>
      </c>
      <c r="N107" s="39"/>
      <c r="O107" s="39"/>
      <c r="P107" s="39">
        <v>500</v>
      </c>
      <c r="Q107" s="39"/>
      <c r="R107" s="39">
        <v>1500</v>
      </c>
      <c r="S107" s="39">
        <v>1500</v>
      </c>
      <c r="T107" s="39"/>
      <c r="U107" s="11">
        <f t="shared" si="4"/>
        <v>0</v>
      </c>
    </row>
    <row r="108" spans="1:22" ht="20.100000000000001" customHeight="1" outlineLevel="2" x14ac:dyDescent="0.2">
      <c r="A108" s="51" t="s">
        <v>107</v>
      </c>
      <c r="B108" s="12">
        <v>635230</v>
      </c>
      <c r="C108" s="12" t="s">
        <v>111</v>
      </c>
      <c r="D108" s="22"/>
      <c r="E108" s="26">
        <f>5110.4</f>
        <v>5110.3999999999996</v>
      </c>
      <c r="F108" s="22"/>
      <c r="G108" s="26">
        <f>6632.36</f>
        <v>6632.36</v>
      </c>
      <c r="H108" s="22"/>
      <c r="I108" s="4">
        <v>9170.4699999999993</v>
      </c>
      <c r="J108" s="4">
        <v>1500</v>
      </c>
      <c r="K108" s="26">
        <f t="shared" si="22"/>
        <v>10670.47</v>
      </c>
      <c r="L108" s="39">
        <v>3000</v>
      </c>
      <c r="N108" s="39"/>
      <c r="O108" s="39"/>
      <c r="P108" s="39"/>
      <c r="Q108" s="39"/>
      <c r="R108" s="39"/>
      <c r="S108" s="39">
        <v>3000</v>
      </c>
      <c r="T108" s="39"/>
      <c r="U108" s="11">
        <f t="shared" si="4"/>
        <v>0</v>
      </c>
    </row>
    <row r="109" spans="1:22" ht="20.100000000000001" customHeight="1" outlineLevel="2" x14ac:dyDescent="0.2">
      <c r="A109" s="51" t="s">
        <v>107</v>
      </c>
      <c r="B109" s="12">
        <v>635240</v>
      </c>
      <c r="C109" s="12" t="s">
        <v>112</v>
      </c>
      <c r="D109" s="22"/>
      <c r="E109" s="26">
        <f>2187.05</f>
        <v>2187.0500000000002</v>
      </c>
      <c r="F109" s="22"/>
      <c r="G109" s="26">
        <f>1291.86</f>
        <v>1291.8599999999999</v>
      </c>
      <c r="H109" s="22"/>
      <c r="I109" s="4">
        <v>1655.8</v>
      </c>
      <c r="J109" s="4"/>
      <c r="K109" s="26">
        <f t="shared" si="22"/>
        <v>1655.8</v>
      </c>
      <c r="L109" s="39">
        <v>1650</v>
      </c>
      <c r="N109" s="39"/>
      <c r="O109" s="39"/>
      <c r="P109" s="39"/>
      <c r="Q109" s="39"/>
      <c r="R109" s="39"/>
      <c r="S109" s="39">
        <v>1650</v>
      </c>
      <c r="T109" s="39"/>
      <c r="U109" s="11">
        <f t="shared" si="4"/>
        <v>0</v>
      </c>
    </row>
    <row r="110" spans="1:22" ht="20.100000000000001" customHeight="1" outlineLevel="2" x14ac:dyDescent="0.2">
      <c r="A110" s="51" t="s">
        <v>107</v>
      </c>
      <c r="B110" s="12">
        <v>635250</v>
      </c>
      <c r="C110" s="12" t="s">
        <v>113</v>
      </c>
      <c r="D110" s="22"/>
      <c r="E110" s="26">
        <f>150</f>
        <v>150</v>
      </c>
      <c r="F110" s="22"/>
      <c r="G110" s="26">
        <f>260.75</f>
        <v>260.75</v>
      </c>
      <c r="H110" s="22"/>
      <c r="I110" s="4">
        <v>98.03</v>
      </c>
      <c r="J110" s="4">
        <v>150</v>
      </c>
      <c r="K110" s="26">
        <f t="shared" si="22"/>
        <v>248.03</v>
      </c>
      <c r="L110" s="39">
        <v>200</v>
      </c>
      <c r="N110" s="39"/>
      <c r="O110" s="39"/>
      <c r="P110" s="39"/>
      <c r="Q110" s="39"/>
      <c r="R110" s="39"/>
      <c r="S110" s="39">
        <v>200</v>
      </c>
      <c r="T110" s="39"/>
      <c r="U110" s="11">
        <f t="shared" si="4"/>
        <v>0</v>
      </c>
    </row>
    <row r="111" spans="1:22" ht="20.100000000000001" customHeight="1" outlineLevel="2" x14ac:dyDescent="0.2">
      <c r="A111" s="51" t="s">
        <v>107</v>
      </c>
      <c r="B111" s="12">
        <v>635260</v>
      </c>
      <c r="C111" s="12" t="s">
        <v>35</v>
      </c>
      <c r="D111" s="22"/>
      <c r="E111" s="26">
        <f>843.01</f>
        <v>843.01</v>
      </c>
      <c r="F111" s="22"/>
      <c r="G111" s="26">
        <f>44.9</f>
        <v>44.9</v>
      </c>
      <c r="H111" s="22"/>
      <c r="I111" s="4">
        <v>2916.66</v>
      </c>
      <c r="J111" s="4">
        <v>120</v>
      </c>
      <c r="K111" s="26">
        <f t="shared" si="22"/>
        <v>3036.66</v>
      </c>
      <c r="L111" s="39">
        <v>100</v>
      </c>
      <c r="N111" s="39"/>
      <c r="O111" s="39"/>
      <c r="P111" s="39"/>
      <c r="Q111" s="39"/>
      <c r="R111" s="39"/>
      <c r="S111" s="39">
        <v>100</v>
      </c>
      <c r="T111" s="39"/>
      <c r="U111" s="11">
        <f t="shared" si="4"/>
        <v>0</v>
      </c>
    </row>
    <row r="112" spans="1:22" s="6" customFormat="1" ht="20.100000000000001" customHeight="1" outlineLevel="1" x14ac:dyDescent="0.2">
      <c r="A112" s="50" t="s">
        <v>158</v>
      </c>
      <c r="B112" s="1"/>
      <c r="C112" s="1"/>
      <c r="D112" s="21">
        <v>20400</v>
      </c>
      <c r="E112" s="25">
        <f>SUBTOTAL(9,E105:E111)</f>
        <v>45063.51</v>
      </c>
      <c r="F112" s="21">
        <v>20400</v>
      </c>
      <c r="G112" s="25">
        <f>SUBTOTAL(9,G105:G111)</f>
        <v>21948.77</v>
      </c>
      <c r="H112" s="21">
        <v>22100</v>
      </c>
      <c r="I112" s="14">
        <f>SUBTOTAL(9,I105:I111)</f>
        <v>25454.86</v>
      </c>
      <c r="J112" s="14">
        <f>SUBTOTAL(9,J105:J111)</f>
        <v>6238.8760000000002</v>
      </c>
      <c r="K112" s="25">
        <f>SUBTOTAL(9,K105:K111)</f>
        <v>31693.735999999997</v>
      </c>
      <c r="L112" s="13">
        <f>SUBTOTAL(9,L105:L111)</f>
        <v>20450</v>
      </c>
      <c r="N112" s="13">
        <f t="shared" ref="N112:T112" si="23">SUBTOTAL(9,N105:N111)</f>
        <v>0</v>
      </c>
      <c r="O112" s="13">
        <f t="shared" si="23"/>
        <v>0</v>
      </c>
      <c r="P112" s="13">
        <f t="shared" si="23"/>
        <v>500</v>
      </c>
      <c r="Q112" s="13">
        <f t="shared" si="23"/>
        <v>0</v>
      </c>
      <c r="R112" s="13">
        <f t="shared" si="23"/>
        <v>11500</v>
      </c>
      <c r="S112" s="13">
        <f t="shared" si="23"/>
        <v>8450</v>
      </c>
      <c r="T112" s="13">
        <f t="shared" si="23"/>
        <v>0</v>
      </c>
      <c r="U112" s="11">
        <f t="shared" si="4"/>
        <v>0</v>
      </c>
      <c r="V112" s="44">
        <f>+L112-Budget!L117</f>
        <v>14675</v>
      </c>
    </row>
    <row r="113" spans="1:22" ht="20.100000000000001" customHeight="1" outlineLevel="2" x14ac:dyDescent="0.2">
      <c r="A113" s="51" t="s">
        <v>167</v>
      </c>
      <c r="B113" s="12">
        <v>636610</v>
      </c>
      <c r="C113" s="12" t="s">
        <v>114</v>
      </c>
      <c r="D113" s="22"/>
      <c r="E113" s="26">
        <f>10719.76</f>
        <v>10719.76</v>
      </c>
      <c r="F113" s="22"/>
      <c r="G113" s="26">
        <f>13691.27</f>
        <v>13691.27</v>
      </c>
      <c r="H113" s="22"/>
      <c r="I113" s="4">
        <f>11949.62+1974.8</f>
        <v>13924.42</v>
      </c>
      <c r="J113" s="4">
        <v>5000</v>
      </c>
      <c r="K113" s="26">
        <f t="shared" ref="K113:K126" si="24">+SUM(I113:J113)</f>
        <v>18924.419999999998</v>
      </c>
      <c r="L113" s="39">
        <v>15000</v>
      </c>
      <c r="M113" s="2" t="s">
        <v>189</v>
      </c>
      <c r="N113" s="39"/>
      <c r="O113" s="39"/>
      <c r="P113" s="39"/>
      <c r="Q113" s="39"/>
      <c r="R113" s="39"/>
      <c r="S113" s="39">
        <v>15000</v>
      </c>
      <c r="T113" s="39"/>
      <c r="U113" s="11">
        <f t="shared" si="4"/>
        <v>0</v>
      </c>
    </row>
    <row r="114" spans="1:22" ht="20.100000000000001" customHeight="1" outlineLevel="2" x14ac:dyDescent="0.2">
      <c r="A114" s="51" t="s">
        <v>167</v>
      </c>
      <c r="B114" s="12">
        <v>636620</v>
      </c>
      <c r="C114" s="12" t="s">
        <v>115</v>
      </c>
      <c r="D114" s="22"/>
      <c r="E114" s="26">
        <f>2702.5</f>
        <v>2702.5</v>
      </c>
      <c r="F114" s="22"/>
      <c r="G114" s="26">
        <f>1500</f>
        <v>1500</v>
      </c>
      <c r="H114" s="22"/>
      <c r="I114" s="4"/>
      <c r="J114" s="4"/>
      <c r="K114" s="26">
        <f t="shared" si="24"/>
        <v>0</v>
      </c>
      <c r="L114" s="39"/>
      <c r="N114" s="39"/>
      <c r="O114" s="39"/>
      <c r="P114" s="39"/>
      <c r="Q114" s="39"/>
      <c r="R114" s="39"/>
      <c r="S114" s="39"/>
      <c r="T114" s="39"/>
      <c r="U114" s="11">
        <f t="shared" si="4"/>
        <v>0</v>
      </c>
    </row>
    <row r="115" spans="1:22" ht="20.100000000000001" customHeight="1" outlineLevel="2" x14ac:dyDescent="0.2">
      <c r="A115" s="51" t="s">
        <v>167</v>
      </c>
      <c r="B115" s="12">
        <v>636630</v>
      </c>
      <c r="C115" s="12" t="s">
        <v>116</v>
      </c>
      <c r="D115" s="22"/>
      <c r="E115" s="26">
        <f>3937.5</f>
        <v>3937.5</v>
      </c>
      <c r="F115" s="22"/>
      <c r="G115" s="26">
        <f>5019</f>
        <v>5019</v>
      </c>
      <c r="H115" s="22"/>
      <c r="I115" s="4">
        <v>4163.9399999999996</v>
      </c>
      <c r="J115" s="4">
        <f>+I115/2</f>
        <v>2081.9699999999998</v>
      </c>
      <c r="K115" s="26">
        <f t="shared" si="24"/>
        <v>6245.91</v>
      </c>
      <c r="L115" s="39">
        <v>6000</v>
      </c>
      <c r="N115" s="39">
        <v>5750</v>
      </c>
      <c r="O115" s="39"/>
      <c r="P115" s="39"/>
      <c r="Q115" s="39"/>
      <c r="R115" s="39"/>
      <c r="S115" s="39"/>
      <c r="T115" s="39">
        <v>250</v>
      </c>
      <c r="U115" s="11">
        <f>+L115-SUM(N115:T115)</f>
        <v>0</v>
      </c>
    </row>
    <row r="116" spans="1:22" ht="20.100000000000001" customHeight="1" outlineLevel="2" x14ac:dyDescent="0.2">
      <c r="A116" s="51" t="s">
        <v>167</v>
      </c>
      <c r="B116" s="12">
        <v>636640</v>
      </c>
      <c r="C116" s="12" t="s">
        <v>117</v>
      </c>
      <c r="D116" s="22">
        <v>30000</v>
      </c>
      <c r="E116" s="26">
        <f>11810</f>
        <v>11810</v>
      </c>
      <c r="F116" s="22">
        <v>30000</v>
      </c>
      <c r="G116" s="26"/>
      <c r="H116" s="22">
        <v>30000</v>
      </c>
      <c r="I116" s="4">
        <v>0</v>
      </c>
      <c r="J116" s="4"/>
      <c r="K116" s="26">
        <f t="shared" si="24"/>
        <v>0</v>
      </c>
      <c r="L116" s="39">
        <v>30000</v>
      </c>
      <c r="N116" s="39"/>
      <c r="O116" s="39"/>
      <c r="P116" s="39"/>
      <c r="Q116" s="39"/>
      <c r="R116" s="39"/>
      <c r="S116" s="39"/>
      <c r="T116" s="39">
        <v>28000</v>
      </c>
      <c r="U116" s="11">
        <f t="shared" ref="U116:U160" si="25">+L116-SUM(N116:T116)</f>
        <v>2000</v>
      </c>
    </row>
    <row r="117" spans="1:22" ht="20.100000000000001" customHeight="1" outlineLevel="2" x14ac:dyDescent="0.2">
      <c r="A117" s="51" t="s">
        <v>167</v>
      </c>
      <c r="B117" s="12">
        <v>636650</v>
      </c>
      <c r="C117" s="12" t="s">
        <v>13</v>
      </c>
      <c r="D117" s="22"/>
      <c r="E117" s="26">
        <f>1789.87</f>
        <v>1789.87</v>
      </c>
      <c r="F117" s="22"/>
      <c r="G117" s="26">
        <f>799.41</f>
        <v>799.41</v>
      </c>
      <c r="H117" s="22"/>
      <c r="I117" s="4">
        <v>1102.55</v>
      </c>
      <c r="J117" s="4">
        <f>+I117/9*3</f>
        <v>367.51666666666665</v>
      </c>
      <c r="K117" s="26">
        <f t="shared" si="24"/>
        <v>1470.0666666666666</v>
      </c>
      <c r="L117" s="39">
        <v>1500</v>
      </c>
      <c r="N117" s="39"/>
      <c r="O117" s="39"/>
      <c r="P117" s="39">
        <v>1500</v>
      </c>
      <c r="Q117" s="39"/>
      <c r="R117" s="39"/>
      <c r="S117" s="39"/>
      <c r="T117" s="39"/>
      <c r="U117" s="11">
        <f t="shared" si="25"/>
        <v>0</v>
      </c>
    </row>
    <row r="118" spans="1:22" ht="20.100000000000001" customHeight="1" outlineLevel="2" x14ac:dyDescent="0.2">
      <c r="A118" s="51" t="s">
        <v>167</v>
      </c>
      <c r="B118" s="12">
        <v>636670</v>
      </c>
      <c r="C118" s="12" t="s">
        <v>118</v>
      </c>
      <c r="D118" s="22"/>
      <c r="E118" s="26">
        <v>0</v>
      </c>
      <c r="F118" s="22"/>
      <c r="G118" s="26">
        <f>4440</f>
        <v>4440</v>
      </c>
      <c r="H118" s="22"/>
      <c r="I118" s="4">
        <v>15000</v>
      </c>
      <c r="J118" s="4">
        <v>0</v>
      </c>
      <c r="K118" s="26">
        <f t="shared" si="24"/>
        <v>15000</v>
      </c>
      <c r="L118" s="39"/>
      <c r="N118" s="39"/>
      <c r="O118" s="39"/>
      <c r="P118" s="39"/>
      <c r="Q118" s="39"/>
      <c r="R118" s="39"/>
      <c r="S118" s="39"/>
      <c r="T118" s="39"/>
      <c r="U118" s="11">
        <f t="shared" si="25"/>
        <v>0</v>
      </c>
    </row>
    <row r="119" spans="1:22" ht="20.100000000000001" customHeight="1" outlineLevel="2" x14ac:dyDescent="0.2">
      <c r="A119" s="51" t="s">
        <v>167</v>
      </c>
      <c r="B119" s="12">
        <v>636680</v>
      </c>
      <c r="C119" s="12" t="s">
        <v>119</v>
      </c>
      <c r="D119" s="22"/>
      <c r="E119" s="26">
        <f>65000</f>
        <v>65000</v>
      </c>
      <c r="F119" s="22"/>
      <c r="G119" s="26">
        <f>71000</f>
        <v>71000</v>
      </c>
      <c r="H119" s="22"/>
      <c r="I119" s="4">
        <v>64000</v>
      </c>
      <c r="J119" s="4">
        <f>750+750+5000+5000+2500</f>
        <v>14000</v>
      </c>
      <c r="K119" s="26">
        <f t="shared" si="24"/>
        <v>78000</v>
      </c>
      <c r="L119" s="39">
        <v>100000</v>
      </c>
      <c r="M119" s="2" t="s">
        <v>217</v>
      </c>
      <c r="N119" s="39"/>
      <c r="O119" s="39"/>
      <c r="P119" s="39">
        <f>+L119</f>
        <v>100000</v>
      </c>
      <c r="Q119" s="39"/>
      <c r="R119" s="39"/>
      <c r="S119" s="39"/>
      <c r="T119" s="39"/>
      <c r="U119" s="11">
        <f t="shared" si="25"/>
        <v>0</v>
      </c>
    </row>
    <row r="120" spans="1:22" ht="20.100000000000001" customHeight="1" outlineLevel="2" x14ac:dyDescent="0.2">
      <c r="A120" s="51" t="s">
        <v>167</v>
      </c>
      <c r="B120" s="12">
        <v>636685</v>
      </c>
      <c r="C120" s="12" t="s">
        <v>120</v>
      </c>
      <c r="D120" s="22"/>
      <c r="E120" s="26">
        <f>447.5</f>
        <v>447.5</v>
      </c>
      <c r="F120" s="22"/>
      <c r="G120" s="26"/>
      <c r="H120" s="22"/>
      <c r="I120" s="4"/>
      <c r="J120" s="4"/>
      <c r="K120" s="26">
        <f t="shared" si="24"/>
        <v>0</v>
      </c>
      <c r="L120" s="39"/>
      <c r="N120" s="39"/>
      <c r="O120" s="39"/>
      <c r="P120" s="39"/>
      <c r="Q120" s="39"/>
      <c r="R120" s="39"/>
      <c r="S120" s="39"/>
      <c r="T120" s="39"/>
      <c r="U120" s="11">
        <f t="shared" si="25"/>
        <v>0</v>
      </c>
    </row>
    <row r="121" spans="1:22" ht="20.100000000000001" customHeight="1" outlineLevel="2" x14ac:dyDescent="0.2">
      <c r="A121" s="51" t="s">
        <v>167</v>
      </c>
      <c r="B121" s="12">
        <v>636690</v>
      </c>
      <c r="C121" s="12" t="s">
        <v>121</v>
      </c>
      <c r="D121" s="22"/>
      <c r="E121" s="26">
        <f>960</f>
        <v>960</v>
      </c>
      <c r="F121" s="22"/>
      <c r="G121" s="26">
        <f>1198</f>
        <v>1198</v>
      </c>
      <c r="H121" s="22"/>
      <c r="I121" s="4">
        <v>998.75</v>
      </c>
      <c r="J121" s="4">
        <f>+I121/10*2</f>
        <v>199.75</v>
      </c>
      <c r="K121" s="26">
        <f t="shared" si="24"/>
        <v>1198.5</v>
      </c>
      <c r="L121" s="39">
        <v>900</v>
      </c>
      <c r="N121" s="39">
        <v>50</v>
      </c>
      <c r="O121" s="39"/>
      <c r="P121" s="39">
        <v>50</v>
      </c>
      <c r="Q121" s="39">
        <v>550</v>
      </c>
      <c r="R121" s="39">
        <v>200</v>
      </c>
      <c r="S121" s="39">
        <v>50</v>
      </c>
      <c r="T121" s="39"/>
      <c r="U121" s="11">
        <f t="shared" si="25"/>
        <v>0</v>
      </c>
    </row>
    <row r="122" spans="1:22" ht="20.100000000000001" customHeight="1" outlineLevel="2" x14ac:dyDescent="0.2">
      <c r="A122" s="51" t="s">
        <v>167</v>
      </c>
      <c r="B122" s="12">
        <v>636710</v>
      </c>
      <c r="C122" s="12" t="s">
        <v>122</v>
      </c>
      <c r="D122" s="22"/>
      <c r="E122" s="26">
        <v>0</v>
      </c>
      <c r="F122" s="22"/>
      <c r="G122" s="26">
        <f>6476.45</f>
        <v>6476.45</v>
      </c>
      <c r="H122" s="22"/>
      <c r="I122" s="4">
        <v>5495</v>
      </c>
      <c r="J122" s="4">
        <v>500</v>
      </c>
      <c r="K122" s="26">
        <f t="shared" si="24"/>
        <v>5995</v>
      </c>
      <c r="L122" s="39">
        <v>5500</v>
      </c>
      <c r="N122" s="39"/>
      <c r="O122" s="39"/>
      <c r="P122" s="39"/>
      <c r="Q122" s="39"/>
      <c r="R122" s="39"/>
      <c r="S122" s="39"/>
      <c r="T122" s="39">
        <v>5500</v>
      </c>
      <c r="U122" s="11">
        <f t="shared" si="25"/>
        <v>0</v>
      </c>
    </row>
    <row r="123" spans="1:22" ht="20.100000000000001" customHeight="1" outlineLevel="2" x14ac:dyDescent="0.2">
      <c r="A123" s="51" t="s">
        <v>167</v>
      </c>
      <c r="B123" s="12">
        <v>636740</v>
      </c>
      <c r="C123" s="12" t="s">
        <v>124</v>
      </c>
      <c r="D123" s="22"/>
      <c r="E123" s="26">
        <f>3191.91</f>
        <v>3191.91</v>
      </c>
      <c r="F123" s="22"/>
      <c r="G123" s="26">
        <f>3188.88</f>
        <v>3188.88</v>
      </c>
      <c r="H123" s="22"/>
      <c r="I123" s="4">
        <v>2720.94</v>
      </c>
      <c r="J123" s="4">
        <v>0</v>
      </c>
      <c r="K123" s="26">
        <f t="shared" si="24"/>
        <v>2720.94</v>
      </c>
      <c r="L123" s="39">
        <v>0</v>
      </c>
      <c r="M123" s="2" t="s">
        <v>223</v>
      </c>
      <c r="N123" s="39"/>
      <c r="O123" s="39"/>
      <c r="P123" s="39"/>
      <c r="Q123" s="39"/>
      <c r="R123" s="39"/>
      <c r="S123" s="39"/>
      <c r="T123" s="39"/>
      <c r="U123" s="11">
        <f t="shared" si="25"/>
        <v>0</v>
      </c>
    </row>
    <row r="124" spans="1:22" ht="20.100000000000001" customHeight="1" outlineLevel="2" x14ac:dyDescent="0.2">
      <c r="A124" s="51" t="s">
        <v>167</v>
      </c>
      <c r="B124" s="12">
        <v>636810</v>
      </c>
      <c r="C124" s="12" t="s">
        <v>125</v>
      </c>
      <c r="D124" s="22"/>
      <c r="E124" s="26">
        <f>22086.55</f>
        <v>22086.55</v>
      </c>
      <c r="F124" s="22"/>
      <c r="G124" s="26">
        <f>19370.48</f>
        <v>19370.48</v>
      </c>
      <c r="H124" s="22"/>
      <c r="I124" s="4">
        <f>13576.56+4513.77-731.25</f>
        <v>17359.080000000002</v>
      </c>
      <c r="J124" s="4">
        <v>4000</v>
      </c>
      <c r="K124" s="26">
        <f t="shared" si="24"/>
        <v>21359.08</v>
      </c>
      <c r="L124" s="39">
        <v>25000</v>
      </c>
      <c r="N124" s="39"/>
      <c r="O124" s="39"/>
      <c r="P124" s="39"/>
      <c r="Q124" s="39">
        <v>22000</v>
      </c>
      <c r="R124" s="39"/>
      <c r="S124" s="39"/>
      <c r="T124" s="39"/>
      <c r="U124" s="11">
        <f t="shared" si="25"/>
        <v>3000</v>
      </c>
    </row>
    <row r="125" spans="1:22" ht="20.100000000000001" customHeight="1" outlineLevel="2" x14ac:dyDescent="0.2">
      <c r="A125" s="51" t="s">
        <v>167</v>
      </c>
      <c r="B125" s="12">
        <v>636820</v>
      </c>
      <c r="C125" s="12" t="s">
        <v>126</v>
      </c>
      <c r="D125" s="22"/>
      <c r="E125" s="26">
        <f>9000</f>
        <v>9000</v>
      </c>
      <c r="F125" s="22"/>
      <c r="G125" s="26">
        <f>9000</f>
        <v>9000</v>
      </c>
      <c r="H125" s="22"/>
      <c r="I125" s="4">
        <v>9000</v>
      </c>
      <c r="J125" s="4">
        <v>0</v>
      </c>
      <c r="K125" s="26">
        <f t="shared" si="24"/>
        <v>9000</v>
      </c>
      <c r="L125" s="39">
        <v>9000</v>
      </c>
      <c r="N125" s="39"/>
      <c r="O125" s="39"/>
      <c r="P125" s="39"/>
      <c r="Q125" s="39">
        <v>9000</v>
      </c>
      <c r="R125" s="39"/>
      <c r="S125" s="39"/>
      <c r="T125" s="39"/>
      <c r="U125" s="11">
        <f t="shared" si="25"/>
        <v>0</v>
      </c>
    </row>
    <row r="126" spans="1:22" ht="20.100000000000001" customHeight="1" outlineLevel="2" x14ac:dyDescent="0.2">
      <c r="A126" s="51" t="s">
        <v>167</v>
      </c>
      <c r="B126" s="12">
        <v>636830</v>
      </c>
      <c r="C126" s="12" t="s">
        <v>127</v>
      </c>
      <c r="D126" s="22"/>
      <c r="E126" s="26">
        <f>26935.35</f>
        <v>26935.35</v>
      </c>
      <c r="F126" s="22"/>
      <c r="G126" s="26">
        <f>9734</f>
        <v>9734</v>
      </c>
      <c r="H126" s="22"/>
      <c r="I126" s="4">
        <v>12410.5</v>
      </c>
      <c r="J126" s="4">
        <f>+I126/10*2</f>
        <v>2482.1</v>
      </c>
      <c r="K126" s="26">
        <f t="shared" si="24"/>
        <v>14892.6</v>
      </c>
      <c r="L126" s="39">
        <v>15000</v>
      </c>
      <c r="N126" s="39"/>
      <c r="O126" s="39">
        <v>15000</v>
      </c>
      <c r="P126" s="39"/>
      <c r="Q126" s="39"/>
      <c r="R126" s="39"/>
      <c r="S126" s="39"/>
      <c r="T126" s="39"/>
      <c r="U126" s="11">
        <f t="shared" si="25"/>
        <v>0</v>
      </c>
    </row>
    <row r="127" spans="1:22" s="6" customFormat="1" ht="20.100000000000001" customHeight="1" outlineLevel="1" x14ac:dyDescent="0.2">
      <c r="A127" s="50" t="s">
        <v>171</v>
      </c>
      <c r="B127" s="1"/>
      <c r="C127" s="1"/>
      <c r="D127" s="21">
        <v>115639</v>
      </c>
      <c r="E127" s="25">
        <f>SUBTOTAL(9,E113:E126)</f>
        <v>158580.94000000003</v>
      </c>
      <c r="F127" s="21">
        <v>115639</v>
      </c>
      <c r="G127" s="25">
        <f>SUBTOTAL(9,G113:G126)</f>
        <v>145417.49</v>
      </c>
      <c r="H127" s="21">
        <f>127690+30000</f>
        <v>157690</v>
      </c>
      <c r="I127" s="14">
        <f>SUBTOTAL(9,I113:I126)</f>
        <v>146175.18</v>
      </c>
      <c r="J127" s="14">
        <f>SUBTOTAL(9,J113:J126)</f>
        <v>28631.336666666662</v>
      </c>
      <c r="K127" s="25">
        <f>SUBTOTAL(9,K113:K126)</f>
        <v>174806.51666666669</v>
      </c>
      <c r="L127" s="13">
        <f>SUBTOTAL(9,L113:L126)</f>
        <v>207900</v>
      </c>
      <c r="N127" s="13">
        <f t="shared" ref="N127:T127" si="26">SUBTOTAL(9,N113:N126)</f>
        <v>5800</v>
      </c>
      <c r="O127" s="13">
        <f t="shared" si="26"/>
        <v>15000</v>
      </c>
      <c r="P127" s="13">
        <f t="shared" si="26"/>
        <v>101550</v>
      </c>
      <c r="Q127" s="13">
        <f t="shared" si="26"/>
        <v>31550</v>
      </c>
      <c r="R127" s="13">
        <f t="shared" si="26"/>
        <v>200</v>
      </c>
      <c r="S127" s="13">
        <f t="shared" si="26"/>
        <v>15050</v>
      </c>
      <c r="T127" s="13">
        <f t="shared" si="26"/>
        <v>33750</v>
      </c>
      <c r="U127" s="11">
        <f t="shared" si="25"/>
        <v>5000</v>
      </c>
      <c r="V127" s="44">
        <f>+L127-Budget!L133</f>
        <v>184096</v>
      </c>
    </row>
    <row r="128" spans="1:22" ht="20.100000000000001" customHeight="1" outlineLevel="2" x14ac:dyDescent="0.2">
      <c r="A128" s="51" t="s">
        <v>168</v>
      </c>
      <c r="B128" s="12">
        <v>636730</v>
      </c>
      <c r="C128" s="12" t="s">
        <v>123</v>
      </c>
      <c r="D128" s="22"/>
      <c r="E128" s="26">
        <f>15000</f>
        <v>15000</v>
      </c>
      <c r="F128" s="22"/>
      <c r="G128" s="26">
        <f>13750</f>
        <v>13750</v>
      </c>
      <c r="H128" s="22"/>
      <c r="I128" s="4">
        <v>12500</v>
      </c>
      <c r="J128" s="4">
        <f>1250*2</f>
        <v>2500</v>
      </c>
      <c r="K128" s="26">
        <f>+SUM(I128:J128)</f>
        <v>15000</v>
      </c>
      <c r="L128" s="39">
        <v>15000</v>
      </c>
      <c r="N128" s="39"/>
      <c r="O128" s="39"/>
      <c r="P128" s="39"/>
      <c r="Q128" s="39"/>
      <c r="R128" s="39">
        <v>15000</v>
      </c>
      <c r="S128" s="39"/>
      <c r="T128" s="39"/>
      <c r="U128" s="11">
        <f t="shared" si="25"/>
        <v>0</v>
      </c>
      <c r="V128" s="44">
        <f>+L128-Budget!L134</f>
        <v>12500</v>
      </c>
    </row>
    <row r="129" spans="1:22" ht="20.100000000000001" customHeight="1" outlineLevel="2" x14ac:dyDescent="0.2">
      <c r="A129" s="51" t="s">
        <v>168</v>
      </c>
      <c r="B129" s="12"/>
      <c r="C129" s="12" t="s">
        <v>134</v>
      </c>
      <c r="D129" s="22"/>
      <c r="E129" s="26"/>
      <c r="F129" s="22"/>
      <c r="G129" s="26"/>
      <c r="H129" s="22"/>
      <c r="I129" s="4"/>
      <c r="J129" s="4"/>
      <c r="K129" s="26">
        <f>+SUM(I129:J129)</f>
        <v>0</v>
      </c>
      <c r="L129" s="39">
        <v>0</v>
      </c>
      <c r="N129" s="39"/>
      <c r="O129" s="39"/>
      <c r="P129" s="39"/>
      <c r="Q129" s="39"/>
      <c r="R129" s="39"/>
      <c r="S129" s="39"/>
      <c r="T129" s="39"/>
      <c r="U129" s="11">
        <f t="shared" si="25"/>
        <v>0</v>
      </c>
      <c r="V129" s="44">
        <f>+L129-Budget!L136</f>
        <v>0</v>
      </c>
    </row>
    <row r="130" spans="1:22" s="6" customFormat="1" ht="20.100000000000001" customHeight="1" outlineLevel="1" x14ac:dyDescent="0.2">
      <c r="A130" s="50" t="s">
        <v>172</v>
      </c>
      <c r="B130" s="1"/>
      <c r="C130" s="1"/>
      <c r="D130" s="21">
        <v>15000</v>
      </c>
      <c r="E130" s="25">
        <f>SUBTOTAL(9,E128:E129)</f>
        <v>15000</v>
      </c>
      <c r="F130" s="21">
        <v>15000</v>
      </c>
      <c r="G130" s="25">
        <f>SUBTOTAL(9,G128:G129)</f>
        <v>13750</v>
      </c>
      <c r="H130" s="21">
        <v>15500</v>
      </c>
      <c r="I130" s="14">
        <f>SUBTOTAL(9,I128:I129)</f>
        <v>12500</v>
      </c>
      <c r="J130" s="14">
        <f>SUBTOTAL(9,J128:J129)</f>
        <v>2500</v>
      </c>
      <c r="K130" s="25">
        <f>SUBTOTAL(9,K128:K129)</f>
        <v>15000</v>
      </c>
      <c r="L130" s="13">
        <f>SUBTOTAL(9,L128:L129)</f>
        <v>15000</v>
      </c>
      <c r="N130" s="13">
        <f t="shared" ref="N130:T130" si="27">SUBTOTAL(9,N128:N129)</f>
        <v>0</v>
      </c>
      <c r="O130" s="13">
        <f t="shared" si="27"/>
        <v>0</v>
      </c>
      <c r="P130" s="13">
        <f t="shared" si="27"/>
        <v>0</v>
      </c>
      <c r="Q130" s="13">
        <f t="shared" si="27"/>
        <v>0</v>
      </c>
      <c r="R130" s="13">
        <f t="shared" si="27"/>
        <v>15000</v>
      </c>
      <c r="S130" s="13">
        <f t="shared" si="27"/>
        <v>0</v>
      </c>
      <c r="T130" s="13">
        <f t="shared" si="27"/>
        <v>0</v>
      </c>
      <c r="U130" s="11">
        <f t="shared" si="25"/>
        <v>0</v>
      </c>
      <c r="V130" s="44">
        <f>+L130-Budget!L137</f>
        <v>12500</v>
      </c>
    </row>
    <row r="131" spans="1:22" ht="20.100000000000001" customHeight="1" outlineLevel="2" x14ac:dyDescent="0.2">
      <c r="A131" s="51" t="s">
        <v>130</v>
      </c>
      <c r="B131" s="12">
        <v>644100</v>
      </c>
      <c r="C131" s="12" t="s">
        <v>131</v>
      </c>
      <c r="D131" s="22"/>
      <c r="E131" s="26">
        <f>9420.47</f>
        <v>9420.4699999999993</v>
      </c>
      <c r="F131" s="22"/>
      <c r="G131" s="26">
        <f>11652.63</f>
        <v>11652.63</v>
      </c>
      <c r="H131" s="22"/>
      <c r="I131" s="4">
        <v>11518.69</v>
      </c>
      <c r="J131" s="4"/>
      <c r="K131" s="26">
        <f t="shared" ref="K131:K133" si="28">+SUM(I131:J131)</f>
        <v>11518.69</v>
      </c>
      <c r="L131" s="39">
        <v>11600</v>
      </c>
      <c r="M131" s="2" t="s">
        <v>222</v>
      </c>
      <c r="N131" s="39"/>
      <c r="O131" s="39"/>
      <c r="P131" s="39"/>
      <c r="Q131" s="39"/>
      <c r="R131" s="39">
        <v>5000</v>
      </c>
      <c r="S131" s="39">
        <v>6600</v>
      </c>
      <c r="T131" s="39"/>
      <c r="U131" s="11">
        <f t="shared" si="25"/>
        <v>0</v>
      </c>
      <c r="V131" s="44">
        <f>+L131-Budget!L138</f>
        <v>11600</v>
      </c>
    </row>
    <row r="132" spans="1:22" ht="20.100000000000001" customHeight="1" outlineLevel="2" x14ac:dyDescent="0.2">
      <c r="A132" s="51" t="s">
        <v>130</v>
      </c>
      <c r="B132" s="12">
        <v>644200</v>
      </c>
      <c r="C132" s="12" t="s">
        <v>132</v>
      </c>
      <c r="D132" s="22"/>
      <c r="E132" s="26">
        <f>12985.34</f>
        <v>12985.34</v>
      </c>
      <c r="F132" s="22"/>
      <c r="G132" s="26">
        <f>16706.66</f>
        <v>16706.66</v>
      </c>
      <c r="H132" s="22"/>
      <c r="I132" s="4">
        <v>18171.98</v>
      </c>
      <c r="J132" s="4"/>
      <c r="K132" s="26">
        <f t="shared" si="28"/>
        <v>18171.98</v>
      </c>
      <c r="L132" s="39">
        <v>18200</v>
      </c>
      <c r="M132" s="2" t="s">
        <v>222</v>
      </c>
      <c r="N132" s="39"/>
      <c r="O132" s="39">
        <v>18200</v>
      </c>
      <c r="P132" s="39"/>
      <c r="Q132" s="39"/>
      <c r="R132" s="39"/>
      <c r="S132" s="39"/>
      <c r="T132" s="39"/>
      <c r="U132" s="11">
        <f t="shared" si="25"/>
        <v>0</v>
      </c>
      <c r="V132" s="44">
        <f>+L132-Budget!L139</f>
        <v>18200</v>
      </c>
    </row>
    <row r="133" spans="1:22" ht="20.100000000000001" customHeight="1" outlineLevel="2" x14ac:dyDescent="0.2">
      <c r="A133" s="51" t="s">
        <v>130</v>
      </c>
      <c r="B133" s="12">
        <v>644300</v>
      </c>
      <c r="C133" s="12" t="s">
        <v>133</v>
      </c>
      <c r="D133" s="22"/>
      <c r="E133" s="26">
        <f>5537.77</f>
        <v>5537.77</v>
      </c>
      <c r="F133" s="22"/>
      <c r="G133" s="26">
        <f>11018.72</f>
        <v>11018.72</v>
      </c>
      <c r="H133" s="22"/>
      <c r="I133" s="4">
        <v>9748</v>
      </c>
      <c r="J133" s="4">
        <v>1500</v>
      </c>
      <c r="K133" s="26">
        <f t="shared" si="28"/>
        <v>11248</v>
      </c>
      <c r="L133" s="39">
        <f>+Payroll!L38</f>
        <v>11317</v>
      </c>
      <c r="M133" s="2" t="s">
        <v>222</v>
      </c>
      <c r="N133" s="39"/>
      <c r="O133" s="39"/>
      <c r="P133" s="39">
        <f>+Payroll!L22</f>
        <v>118</v>
      </c>
      <c r="Q133" s="39"/>
      <c r="R133" s="39">
        <f>+Payroll!L16+Payroll!L19</f>
        <v>8652</v>
      </c>
      <c r="S133" s="39">
        <f>+Payroll!L33</f>
        <v>1562</v>
      </c>
      <c r="T133" s="39"/>
      <c r="U133" s="11">
        <f t="shared" si="25"/>
        <v>985</v>
      </c>
      <c r="V133" s="44">
        <f>+L133-Budget!L140</f>
        <v>2939</v>
      </c>
    </row>
    <row r="134" spans="1:22" s="6" customFormat="1" ht="20.100000000000001" customHeight="1" outlineLevel="1" x14ac:dyDescent="0.2">
      <c r="A134" s="50" t="s">
        <v>159</v>
      </c>
      <c r="B134" s="1"/>
      <c r="C134" s="1"/>
      <c r="D134" s="21">
        <v>32991</v>
      </c>
      <c r="E134" s="25">
        <f>SUBTOTAL(9,E131:E133)</f>
        <v>27943.579999999998</v>
      </c>
      <c r="F134" s="21">
        <v>32991</v>
      </c>
      <c r="G134" s="25">
        <f>SUBTOTAL(9,G131:G133)</f>
        <v>39378.01</v>
      </c>
      <c r="H134" s="21">
        <v>22500</v>
      </c>
      <c r="I134" s="14">
        <f>SUBTOTAL(9,I131:I133)</f>
        <v>39438.67</v>
      </c>
      <c r="J134" s="14">
        <f>SUBTOTAL(9,J131:J133)</f>
        <v>1500</v>
      </c>
      <c r="K134" s="25">
        <f>SUBTOTAL(9,K131:K133)</f>
        <v>40938.67</v>
      </c>
      <c r="L134" s="13">
        <f>SUBTOTAL(9,L131:L133)</f>
        <v>41117</v>
      </c>
      <c r="M134" s="6" t="s">
        <v>231</v>
      </c>
      <c r="N134" s="13">
        <f t="shared" ref="N134:T134" si="29">SUBTOTAL(9,N131:N133)</f>
        <v>0</v>
      </c>
      <c r="O134" s="13">
        <f t="shared" si="29"/>
        <v>18200</v>
      </c>
      <c r="P134" s="13">
        <f t="shared" si="29"/>
        <v>118</v>
      </c>
      <c r="Q134" s="13">
        <f t="shared" si="29"/>
        <v>0</v>
      </c>
      <c r="R134" s="13">
        <f t="shared" si="29"/>
        <v>13652</v>
      </c>
      <c r="S134" s="13">
        <f t="shared" si="29"/>
        <v>8162</v>
      </c>
      <c r="T134" s="13">
        <f t="shared" si="29"/>
        <v>0</v>
      </c>
      <c r="U134" s="11">
        <f t="shared" si="25"/>
        <v>985</v>
      </c>
      <c r="V134" s="44">
        <f>+L134-Budget!L141</f>
        <v>32739</v>
      </c>
    </row>
    <row r="135" spans="1:22" ht="20.100000000000001" customHeight="1" outlineLevel="2" x14ac:dyDescent="0.2">
      <c r="A135" s="51" t="s">
        <v>169</v>
      </c>
      <c r="B135" s="12">
        <v>651200</v>
      </c>
      <c r="C135" s="12" t="s">
        <v>110</v>
      </c>
      <c r="D135" s="22"/>
      <c r="E135" s="26">
        <f>1850.36</f>
        <v>1850.36</v>
      </c>
      <c r="F135" s="22"/>
      <c r="G135" s="26">
        <f>1905.13</f>
        <v>1905.13</v>
      </c>
      <c r="H135" s="22"/>
      <c r="I135" s="4">
        <v>675.5</v>
      </c>
      <c r="J135" s="4"/>
      <c r="K135" s="26">
        <f t="shared" ref="K135:K136" si="30">+SUM(I135:J135)</f>
        <v>675.5</v>
      </c>
      <c r="L135" s="39">
        <v>0</v>
      </c>
      <c r="M135" s="2" t="s">
        <v>191</v>
      </c>
      <c r="N135" s="39"/>
      <c r="O135" s="39"/>
      <c r="P135" s="39"/>
      <c r="Q135" s="39"/>
      <c r="R135" s="39"/>
      <c r="S135" s="39"/>
      <c r="T135" s="39"/>
      <c r="U135" s="11">
        <f t="shared" si="25"/>
        <v>0</v>
      </c>
      <c r="V135" s="44">
        <f>+L135-Budget!L142</f>
        <v>0</v>
      </c>
    </row>
    <row r="136" spans="1:22" ht="20.100000000000001" customHeight="1" outlineLevel="2" x14ac:dyDescent="0.2">
      <c r="A136" s="51" t="s">
        <v>169</v>
      </c>
      <c r="B136" s="12">
        <v>651300</v>
      </c>
      <c r="C136" s="12" t="s">
        <v>98</v>
      </c>
      <c r="D136" s="22"/>
      <c r="E136" s="26">
        <f>1840.53</f>
        <v>1840.53</v>
      </c>
      <c r="F136" s="22"/>
      <c r="G136" s="26">
        <f>1570.53</f>
        <v>1570.53</v>
      </c>
      <c r="H136" s="22"/>
      <c r="I136" s="4">
        <f>1056.71+385.56</f>
        <v>1442.27</v>
      </c>
      <c r="J136" s="4">
        <f>128.52+128.52</f>
        <v>257.04000000000002</v>
      </c>
      <c r="K136" s="26">
        <f t="shared" si="30"/>
        <v>1699.31</v>
      </c>
      <c r="L136" s="39">
        <f>129*12+150</f>
        <v>1698</v>
      </c>
      <c r="N136" s="39"/>
      <c r="O136" s="39"/>
      <c r="P136" s="39">
        <f>+L136</f>
        <v>1698</v>
      </c>
      <c r="Q136" s="39"/>
      <c r="R136" s="39"/>
      <c r="S136" s="39"/>
      <c r="T136" s="39"/>
      <c r="U136" s="11">
        <f t="shared" si="25"/>
        <v>0</v>
      </c>
      <c r="V136" s="44">
        <f>+L136-Budget!L143</f>
        <v>1569.48</v>
      </c>
    </row>
    <row r="137" spans="1:22" s="6" customFormat="1" ht="20.100000000000001" customHeight="1" outlineLevel="1" x14ac:dyDescent="0.2">
      <c r="A137" s="50" t="s">
        <v>173</v>
      </c>
      <c r="B137" s="1"/>
      <c r="C137" s="1"/>
      <c r="D137" s="21">
        <v>3510</v>
      </c>
      <c r="E137" s="25">
        <f>SUBTOTAL(9,E135:E136)</f>
        <v>3690.89</v>
      </c>
      <c r="F137" s="21">
        <v>3510</v>
      </c>
      <c r="G137" s="25">
        <f>SUBTOTAL(9,G135:G136)</f>
        <v>3475.66</v>
      </c>
      <c r="H137" s="21">
        <v>2098</v>
      </c>
      <c r="I137" s="14">
        <f>SUBTOTAL(9,I135:I136)</f>
        <v>2117.77</v>
      </c>
      <c r="J137" s="14">
        <f>SUBTOTAL(9,J135:J136)</f>
        <v>257.04000000000002</v>
      </c>
      <c r="K137" s="25">
        <f>SUBTOTAL(9,K135:K136)</f>
        <v>2374.81</v>
      </c>
      <c r="L137" s="13">
        <f>SUBTOTAL(9,L135:L136)</f>
        <v>1698</v>
      </c>
      <c r="N137" s="13">
        <f t="shared" ref="N137:T137" si="31">SUBTOTAL(9,N135:N136)</f>
        <v>0</v>
      </c>
      <c r="O137" s="13">
        <f t="shared" si="31"/>
        <v>0</v>
      </c>
      <c r="P137" s="13">
        <f t="shared" si="31"/>
        <v>1698</v>
      </c>
      <c r="Q137" s="13">
        <f t="shared" si="31"/>
        <v>0</v>
      </c>
      <c r="R137" s="13">
        <f t="shared" si="31"/>
        <v>0</v>
      </c>
      <c r="S137" s="13">
        <f t="shared" si="31"/>
        <v>0</v>
      </c>
      <c r="T137" s="13">
        <f t="shared" si="31"/>
        <v>0</v>
      </c>
      <c r="U137" s="11">
        <f t="shared" si="25"/>
        <v>0</v>
      </c>
      <c r="V137" s="44">
        <f>+L137-Budget!L144</f>
        <v>1569.48</v>
      </c>
    </row>
    <row r="138" spans="1:22" ht="20.100000000000001" customHeight="1" outlineLevel="2" x14ac:dyDescent="0.2">
      <c r="A138" s="51" t="s">
        <v>141</v>
      </c>
      <c r="B138" s="12">
        <v>652100</v>
      </c>
      <c r="C138" s="12" t="s">
        <v>140</v>
      </c>
      <c r="D138" s="22"/>
      <c r="E138" s="26">
        <f>2111.83</f>
        <v>2111.83</v>
      </c>
      <c r="F138" s="22"/>
      <c r="G138" s="26">
        <f>5600.84</f>
        <v>5600.84</v>
      </c>
      <c r="H138" s="22"/>
      <c r="I138" s="4">
        <v>5501.42</v>
      </c>
      <c r="J138" s="4">
        <v>0</v>
      </c>
      <c r="K138" s="26">
        <f>+SUM(I138:J138)</f>
        <v>5501.42</v>
      </c>
      <c r="L138" s="39">
        <v>5000</v>
      </c>
      <c r="N138" s="39"/>
      <c r="O138" s="39"/>
      <c r="P138" s="39">
        <v>500</v>
      </c>
      <c r="Q138" s="39">
        <v>500</v>
      </c>
      <c r="R138" s="39">
        <v>2000</v>
      </c>
      <c r="S138" s="39">
        <v>2000</v>
      </c>
      <c r="T138" s="39"/>
      <c r="U138" s="11">
        <f t="shared" si="25"/>
        <v>0</v>
      </c>
      <c r="V138" s="44">
        <f>+L138-Budget!L145</f>
        <v>4500</v>
      </c>
    </row>
    <row r="139" spans="1:22" s="6" customFormat="1" ht="20.100000000000001" customHeight="1" outlineLevel="1" x14ac:dyDescent="0.2">
      <c r="A139" s="50" t="s">
        <v>176</v>
      </c>
      <c r="B139" s="1"/>
      <c r="C139" s="1"/>
      <c r="D139" s="21">
        <v>15000</v>
      </c>
      <c r="E139" s="25">
        <f>SUBTOTAL(9,E138:E138)</f>
        <v>2111.83</v>
      </c>
      <c r="F139" s="21">
        <v>15000</v>
      </c>
      <c r="G139" s="25">
        <f>SUBTOTAL(9,G138:G138)</f>
        <v>5600.84</v>
      </c>
      <c r="H139" s="21">
        <v>3500</v>
      </c>
      <c r="I139" s="14">
        <f>SUBTOTAL(9,I138:I138)</f>
        <v>5501.42</v>
      </c>
      <c r="J139" s="14">
        <f>SUBTOTAL(9,J138:J138)</f>
        <v>0</v>
      </c>
      <c r="K139" s="25">
        <f>SUBTOTAL(9,K138:K138)</f>
        <v>5501.42</v>
      </c>
      <c r="L139" s="13">
        <f>SUBTOTAL(9,L138:L138)</f>
        <v>5000</v>
      </c>
      <c r="N139" s="13">
        <f t="shared" ref="N139:T139" si="32">SUBTOTAL(9,N138:N138)</f>
        <v>0</v>
      </c>
      <c r="O139" s="13">
        <f t="shared" si="32"/>
        <v>0</v>
      </c>
      <c r="P139" s="13">
        <f t="shared" si="32"/>
        <v>500</v>
      </c>
      <c r="Q139" s="13">
        <f t="shared" si="32"/>
        <v>500</v>
      </c>
      <c r="R139" s="13">
        <f t="shared" si="32"/>
        <v>2000</v>
      </c>
      <c r="S139" s="13">
        <f t="shared" si="32"/>
        <v>2000</v>
      </c>
      <c r="T139" s="13">
        <f t="shared" si="32"/>
        <v>0</v>
      </c>
      <c r="U139" s="11">
        <f t="shared" si="25"/>
        <v>0</v>
      </c>
      <c r="V139" s="44">
        <f>+L139-Budget!L146</f>
        <v>4500</v>
      </c>
    </row>
    <row r="140" spans="1:22" ht="20.100000000000001" customHeight="1" outlineLevel="2" x14ac:dyDescent="0.2">
      <c r="A140" s="51" t="s">
        <v>142</v>
      </c>
      <c r="B140" s="12">
        <v>652200</v>
      </c>
      <c r="C140" s="12" t="s">
        <v>182</v>
      </c>
      <c r="D140" s="22"/>
      <c r="E140" s="26"/>
      <c r="F140" s="22"/>
      <c r="G140" s="26"/>
      <c r="H140" s="22"/>
      <c r="I140" s="4">
        <v>25211.279999999999</v>
      </c>
      <c r="J140" s="4">
        <v>0</v>
      </c>
      <c r="K140" s="26">
        <f t="shared" ref="K140:K141" si="33">+SUM(I140:J140)</f>
        <v>25211.279999999999</v>
      </c>
      <c r="L140" s="39"/>
      <c r="N140" s="39"/>
      <c r="O140" s="39"/>
      <c r="P140" s="39"/>
      <c r="Q140" s="39"/>
      <c r="R140" s="39"/>
      <c r="S140" s="39"/>
      <c r="T140" s="39"/>
      <c r="U140" s="11">
        <f t="shared" si="25"/>
        <v>0</v>
      </c>
      <c r="V140" s="44">
        <f>+L140-Budget!L147</f>
        <v>0</v>
      </c>
    </row>
    <row r="141" spans="1:22" ht="20.100000000000001" customHeight="1" outlineLevel="2" x14ac:dyDescent="0.2">
      <c r="A141" s="51" t="s">
        <v>142</v>
      </c>
      <c r="B141" s="12">
        <v>850000</v>
      </c>
      <c r="C141" s="12" t="s">
        <v>183</v>
      </c>
      <c r="D141" s="22"/>
      <c r="E141" s="26">
        <f>53214.7</f>
        <v>53214.7</v>
      </c>
      <c r="F141" s="22"/>
      <c r="G141" s="26">
        <f>13688.11</f>
        <v>13688.11</v>
      </c>
      <c r="H141" s="22"/>
      <c r="I141" s="4">
        <v>46121.1</v>
      </c>
      <c r="J141" s="4">
        <v>0</v>
      </c>
      <c r="K141" s="26">
        <f t="shared" si="33"/>
        <v>46121.1</v>
      </c>
      <c r="L141" s="39"/>
      <c r="N141" s="39"/>
      <c r="O141" s="39"/>
      <c r="P141" s="39"/>
      <c r="Q141" s="39"/>
      <c r="R141" s="39"/>
      <c r="S141" s="39"/>
      <c r="T141" s="39"/>
      <c r="U141" s="11">
        <f t="shared" si="25"/>
        <v>0</v>
      </c>
      <c r="V141" s="44">
        <f>+L141-Budget!L148</f>
        <v>0</v>
      </c>
    </row>
    <row r="142" spans="1:22" s="6" customFormat="1" ht="20.100000000000001" customHeight="1" outlineLevel="1" x14ac:dyDescent="0.2">
      <c r="A142" s="50" t="s">
        <v>162</v>
      </c>
      <c r="B142" s="1"/>
      <c r="C142" s="1"/>
      <c r="D142" s="21">
        <v>25000</v>
      </c>
      <c r="E142" s="25">
        <f>SUBTOTAL(9,E141:E141)</f>
        <v>53214.7</v>
      </c>
      <c r="F142" s="21">
        <v>25000</v>
      </c>
      <c r="G142" s="25">
        <f>SUBTOTAL(9,G141:G141)</f>
        <v>13688.11</v>
      </c>
      <c r="H142" s="21">
        <v>12000</v>
      </c>
      <c r="I142" s="14">
        <f>SUBTOTAL(9,I141:I141)</f>
        <v>46121.1</v>
      </c>
      <c r="J142" s="14">
        <f>SUBTOTAL(9,J141:J141)</f>
        <v>0</v>
      </c>
      <c r="K142" s="25">
        <f>SUBTOTAL(9,K141:K141)</f>
        <v>46121.1</v>
      </c>
      <c r="L142" s="13">
        <f>SUBTOTAL(9,L141:L141)</f>
        <v>0</v>
      </c>
      <c r="N142" s="13">
        <f t="shared" ref="N142:T142" si="34">SUBTOTAL(9,N141:N141)</f>
        <v>0</v>
      </c>
      <c r="O142" s="13">
        <f t="shared" si="34"/>
        <v>0</v>
      </c>
      <c r="P142" s="13">
        <f t="shared" si="34"/>
        <v>0</v>
      </c>
      <c r="Q142" s="13">
        <f t="shared" si="34"/>
        <v>0</v>
      </c>
      <c r="R142" s="13">
        <f t="shared" si="34"/>
        <v>0</v>
      </c>
      <c r="S142" s="13">
        <f t="shared" si="34"/>
        <v>0</v>
      </c>
      <c r="T142" s="13">
        <f t="shared" si="34"/>
        <v>0</v>
      </c>
      <c r="U142" s="11">
        <f t="shared" si="25"/>
        <v>0</v>
      </c>
      <c r="V142" s="44">
        <f>+L142-Budget!L149</f>
        <v>0</v>
      </c>
    </row>
    <row r="143" spans="1:22" ht="20.100000000000001" customHeight="1" outlineLevel="2" x14ac:dyDescent="0.2">
      <c r="A143" s="51" t="s">
        <v>135</v>
      </c>
      <c r="B143" s="12">
        <v>624110</v>
      </c>
      <c r="C143" s="12" t="s">
        <v>7</v>
      </c>
      <c r="D143" s="22"/>
      <c r="E143" s="26">
        <f>3209.19</f>
        <v>3209.19</v>
      </c>
      <c r="F143" s="22"/>
      <c r="G143" s="26">
        <f>1252.14</f>
        <v>1252.1400000000001</v>
      </c>
      <c r="H143" s="22"/>
      <c r="I143" s="4">
        <v>2312.92</v>
      </c>
      <c r="J143" s="4">
        <v>500</v>
      </c>
      <c r="K143" s="26">
        <f t="shared" ref="K143:K144" si="35">+SUM(I143:J143)</f>
        <v>2812.92</v>
      </c>
      <c r="L143" s="39">
        <v>3500</v>
      </c>
      <c r="N143" s="39"/>
      <c r="O143" s="39"/>
      <c r="P143" s="39"/>
      <c r="Q143" s="39"/>
      <c r="R143" s="39">
        <v>3500</v>
      </c>
      <c r="S143" s="39"/>
      <c r="T143" s="39"/>
      <c r="U143" s="11">
        <f t="shared" si="25"/>
        <v>0</v>
      </c>
      <c r="V143" s="44">
        <f>+L143-Budget!L150</f>
        <v>2500</v>
      </c>
    </row>
    <row r="144" spans="1:22" ht="20.100000000000001" customHeight="1" outlineLevel="2" x14ac:dyDescent="0.2">
      <c r="A144" s="51" t="s">
        <v>135</v>
      </c>
      <c r="B144" s="12">
        <v>639700</v>
      </c>
      <c r="C144" s="12" t="s">
        <v>17</v>
      </c>
      <c r="D144" s="22"/>
      <c r="E144" s="26">
        <v>3021.75</v>
      </c>
      <c r="F144" s="22"/>
      <c r="G144" s="26"/>
      <c r="H144" s="22"/>
      <c r="I144" s="4">
        <v>1006.25</v>
      </c>
      <c r="J144" s="4">
        <f>+I144/8*4</f>
        <v>503.125</v>
      </c>
      <c r="K144" s="26">
        <f t="shared" si="35"/>
        <v>1509.375</v>
      </c>
      <c r="L144" s="39">
        <v>3000</v>
      </c>
      <c r="M144" s="2" t="s">
        <v>219</v>
      </c>
      <c r="N144" s="39"/>
      <c r="O144" s="39"/>
      <c r="P144" s="39"/>
      <c r="Q144" s="39"/>
      <c r="R144" s="39">
        <v>3000</v>
      </c>
      <c r="S144" s="39"/>
      <c r="T144" s="39"/>
      <c r="U144" s="11">
        <f t="shared" si="25"/>
        <v>0</v>
      </c>
      <c r="V144" s="44">
        <f>+L144-Budget!L151</f>
        <v>2750</v>
      </c>
    </row>
    <row r="145" spans="1:22" s="6" customFormat="1" ht="20.100000000000001" customHeight="1" outlineLevel="1" x14ac:dyDescent="0.2">
      <c r="A145" s="50" t="s">
        <v>160</v>
      </c>
      <c r="B145" s="1"/>
      <c r="C145" s="1"/>
      <c r="D145" s="21">
        <v>5500</v>
      </c>
      <c r="E145" s="25">
        <f>SUBTOTAL(9,E143:E144)</f>
        <v>6230.9400000000005</v>
      </c>
      <c r="F145" s="21">
        <v>5500</v>
      </c>
      <c r="G145" s="25">
        <f>SUBTOTAL(9,G143:G144)</f>
        <v>1252.1400000000001</v>
      </c>
      <c r="H145" s="21">
        <v>5500</v>
      </c>
      <c r="I145" s="14">
        <f>SUBTOTAL(9,I143:I144)</f>
        <v>3319.17</v>
      </c>
      <c r="J145" s="14">
        <f>SUBTOTAL(9,J143:J144)</f>
        <v>1003.125</v>
      </c>
      <c r="K145" s="25">
        <f>SUBTOTAL(9,K143:K144)</f>
        <v>4322.2950000000001</v>
      </c>
      <c r="L145" s="13">
        <f>SUBTOTAL(9,L143:L144)</f>
        <v>6500</v>
      </c>
      <c r="N145" s="13">
        <f t="shared" ref="N145:T145" si="36">SUBTOTAL(9,N143:N144)</f>
        <v>0</v>
      </c>
      <c r="O145" s="13">
        <f t="shared" si="36"/>
        <v>0</v>
      </c>
      <c r="P145" s="13">
        <f t="shared" si="36"/>
        <v>0</v>
      </c>
      <c r="Q145" s="13">
        <f t="shared" si="36"/>
        <v>0</v>
      </c>
      <c r="R145" s="13">
        <f t="shared" si="36"/>
        <v>6500</v>
      </c>
      <c r="S145" s="13">
        <f t="shared" si="36"/>
        <v>0</v>
      </c>
      <c r="T145" s="13">
        <f t="shared" si="36"/>
        <v>0</v>
      </c>
      <c r="U145" s="11">
        <f t="shared" si="25"/>
        <v>0</v>
      </c>
      <c r="V145" s="44">
        <f>+L145-Budget!L152</f>
        <v>5250</v>
      </c>
    </row>
    <row r="146" spans="1:22" ht="20.100000000000001" customHeight="1" outlineLevel="2" x14ac:dyDescent="0.2">
      <c r="A146" s="51" t="s">
        <v>134</v>
      </c>
      <c r="B146" s="12">
        <v>631600</v>
      </c>
      <c r="C146" s="12" t="s">
        <v>10</v>
      </c>
      <c r="D146" s="22"/>
      <c r="E146" s="26">
        <f>471.73</f>
        <v>471.73</v>
      </c>
      <c r="F146" s="22"/>
      <c r="G146" s="26">
        <f>78.4</f>
        <v>78.400000000000006</v>
      </c>
      <c r="H146" s="22"/>
      <c r="I146" s="4">
        <v>456.84</v>
      </c>
      <c r="J146" s="4">
        <f>20*3+150</f>
        <v>210</v>
      </c>
      <c r="K146" s="26">
        <f t="shared" ref="K146:K159" si="37">+SUM(I146:J146)</f>
        <v>666.83999999999992</v>
      </c>
      <c r="L146" s="39">
        <v>500</v>
      </c>
      <c r="N146" s="39">
        <v>175</v>
      </c>
      <c r="O146" s="39"/>
      <c r="P146" s="39"/>
      <c r="Q146" s="39"/>
      <c r="R146" s="39">
        <v>325</v>
      </c>
      <c r="S146" s="39"/>
      <c r="T146" s="39"/>
      <c r="U146" s="11">
        <f t="shared" si="25"/>
        <v>0</v>
      </c>
      <c r="V146" s="44">
        <f>+L146-Budget!L153</f>
        <v>275</v>
      </c>
    </row>
    <row r="147" spans="1:22" ht="20.100000000000001" customHeight="1" outlineLevel="2" x14ac:dyDescent="0.2">
      <c r="A147" s="51" t="s">
        <v>134</v>
      </c>
      <c r="B147" s="12">
        <v>631800</v>
      </c>
      <c r="C147" s="12" t="s">
        <v>11</v>
      </c>
      <c r="D147" s="22"/>
      <c r="E147" s="26">
        <f>1859.26</f>
        <v>1859.26</v>
      </c>
      <c r="F147" s="22"/>
      <c r="G147" s="26">
        <f>368.33</f>
        <v>368.33</v>
      </c>
      <c r="H147" s="22"/>
      <c r="I147" s="4">
        <v>707.51</v>
      </c>
      <c r="J147" s="4">
        <v>200</v>
      </c>
      <c r="K147" s="26">
        <f t="shared" si="37"/>
        <v>907.51</v>
      </c>
      <c r="L147" s="39">
        <v>500</v>
      </c>
      <c r="N147" s="39"/>
      <c r="O147" s="39"/>
      <c r="P147" s="39"/>
      <c r="Q147" s="39"/>
      <c r="R147" s="39"/>
      <c r="S147" s="39">
        <f>+L147</f>
        <v>500</v>
      </c>
      <c r="T147" s="39"/>
      <c r="U147" s="11">
        <f t="shared" si="25"/>
        <v>0</v>
      </c>
      <c r="V147" s="44">
        <f>+L147-Budget!L154</f>
        <v>500</v>
      </c>
    </row>
    <row r="148" spans="1:22" ht="20.100000000000001" customHeight="1" outlineLevel="2" x14ac:dyDescent="0.2">
      <c r="A148" s="51" t="s">
        <v>134</v>
      </c>
      <c r="B148" s="12">
        <v>634120</v>
      </c>
      <c r="C148" s="12" t="s">
        <v>136</v>
      </c>
      <c r="D148" s="22"/>
      <c r="E148" s="26">
        <f>34.61</f>
        <v>34.61</v>
      </c>
      <c r="F148" s="22"/>
      <c r="G148" s="26"/>
      <c r="H148" s="22"/>
      <c r="I148" s="4"/>
      <c r="J148" s="4"/>
      <c r="K148" s="26">
        <f t="shared" si="37"/>
        <v>0</v>
      </c>
      <c r="L148" s="39"/>
      <c r="N148" s="39"/>
      <c r="O148" s="39"/>
      <c r="P148" s="39"/>
      <c r="Q148" s="39"/>
      <c r="R148" s="39"/>
      <c r="S148" s="39"/>
      <c r="T148" s="39"/>
      <c r="U148" s="11">
        <f t="shared" si="25"/>
        <v>0</v>
      </c>
      <c r="V148" s="44">
        <f>+L148-Budget!L155</f>
        <v>0</v>
      </c>
    </row>
    <row r="149" spans="1:22" ht="20.100000000000001" customHeight="1" outlineLevel="2" x14ac:dyDescent="0.2">
      <c r="A149" s="51" t="s">
        <v>134</v>
      </c>
      <c r="B149" s="12">
        <v>636100</v>
      </c>
      <c r="C149" s="12" t="s">
        <v>12</v>
      </c>
      <c r="D149" s="22"/>
      <c r="E149" s="26">
        <v>3253.92</v>
      </c>
      <c r="F149" s="22"/>
      <c r="G149" s="26">
        <f>1312.9</f>
        <v>1312.9</v>
      </c>
      <c r="H149" s="22"/>
      <c r="I149" s="4">
        <v>584.29999999999995</v>
      </c>
      <c r="J149" s="4">
        <v>750</v>
      </c>
      <c r="K149" s="26">
        <f t="shared" si="37"/>
        <v>1334.3</v>
      </c>
      <c r="L149" s="39">
        <v>1300</v>
      </c>
      <c r="N149" s="39">
        <v>650</v>
      </c>
      <c r="O149" s="39"/>
      <c r="P149" s="39">
        <v>450</v>
      </c>
      <c r="Q149" s="39"/>
      <c r="R149" s="39">
        <v>200</v>
      </c>
      <c r="S149" s="39"/>
      <c r="T149" s="39"/>
      <c r="U149" s="11">
        <f t="shared" si="25"/>
        <v>0</v>
      </c>
      <c r="V149" s="44">
        <f>+L149-Budget!L156</f>
        <v>700</v>
      </c>
    </row>
    <row r="150" spans="1:22" ht="20.100000000000001" customHeight="1" outlineLevel="2" x14ac:dyDescent="0.2">
      <c r="A150" s="51" t="s">
        <v>134</v>
      </c>
      <c r="B150" s="12">
        <v>636741</v>
      </c>
      <c r="C150" s="12" t="s">
        <v>14</v>
      </c>
      <c r="D150" s="22"/>
      <c r="E150" s="26">
        <v>0</v>
      </c>
      <c r="F150" s="22"/>
      <c r="G150" s="26">
        <f>360</f>
        <v>360</v>
      </c>
      <c r="H150" s="22"/>
      <c r="I150" s="4"/>
      <c r="J150" s="4"/>
      <c r="K150" s="26">
        <f t="shared" si="37"/>
        <v>0</v>
      </c>
      <c r="L150" s="39">
        <f>180*3</f>
        <v>540</v>
      </c>
      <c r="M150" s="2" t="s">
        <v>220</v>
      </c>
      <c r="N150" s="39"/>
      <c r="O150" s="39"/>
      <c r="P150" s="39"/>
      <c r="Q150" s="39"/>
      <c r="R150" s="39">
        <v>540</v>
      </c>
      <c r="S150" s="39"/>
      <c r="T150" s="39"/>
      <c r="U150" s="11">
        <f t="shared" si="25"/>
        <v>0</v>
      </c>
      <c r="V150" s="44">
        <f>+L150-Budget!L157</f>
        <v>540</v>
      </c>
    </row>
    <row r="151" spans="1:22" ht="20.100000000000001" customHeight="1" outlineLevel="2" x14ac:dyDescent="0.2">
      <c r="A151" s="51" t="s">
        <v>134</v>
      </c>
      <c r="B151" s="12">
        <v>637100</v>
      </c>
      <c r="C151" s="12" t="s">
        <v>15</v>
      </c>
      <c r="D151" s="22"/>
      <c r="E151" s="26">
        <f>6724.38</f>
        <v>6724.38</v>
      </c>
      <c r="F151" s="22"/>
      <c r="G151" s="26">
        <f>435.6</f>
        <v>435.6</v>
      </c>
      <c r="H151" s="22"/>
      <c r="I151" s="4"/>
      <c r="J151" s="4"/>
      <c r="K151" s="26">
        <f t="shared" si="37"/>
        <v>0</v>
      </c>
      <c r="L151" s="39">
        <v>0</v>
      </c>
      <c r="N151" s="39"/>
      <c r="O151" s="39"/>
      <c r="P151" s="39"/>
      <c r="Q151" s="39"/>
      <c r="R151" s="39"/>
      <c r="S151" s="39"/>
      <c r="T151" s="39"/>
      <c r="U151" s="11">
        <f t="shared" si="25"/>
        <v>0</v>
      </c>
      <c r="V151" s="44">
        <f>+L151-Budget!L158</f>
        <v>0</v>
      </c>
    </row>
    <row r="152" spans="1:22" ht="20.100000000000001" customHeight="1" outlineLevel="2" x14ac:dyDescent="0.2">
      <c r="A152" s="51" t="s">
        <v>134</v>
      </c>
      <c r="B152" s="12">
        <v>637740</v>
      </c>
      <c r="C152" s="12" t="s">
        <v>128</v>
      </c>
      <c r="D152" s="22"/>
      <c r="E152" s="26">
        <f>20</f>
        <v>20</v>
      </c>
      <c r="F152" s="22"/>
      <c r="G152" s="26">
        <f>0</f>
        <v>0</v>
      </c>
      <c r="H152" s="22"/>
      <c r="I152" s="4">
        <v>314.57</v>
      </c>
      <c r="J152" s="4">
        <v>150</v>
      </c>
      <c r="K152" s="26">
        <f t="shared" si="37"/>
        <v>464.57</v>
      </c>
      <c r="L152" s="39">
        <f>21*12</f>
        <v>252</v>
      </c>
      <c r="M152" s="2" t="s">
        <v>221</v>
      </c>
      <c r="N152" s="39"/>
      <c r="O152" s="39"/>
      <c r="P152" s="39"/>
      <c r="Q152" s="39">
        <v>252</v>
      </c>
      <c r="R152" s="39"/>
      <c r="S152" s="39"/>
      <c r="T152" s="39"/>
      <c r="U152" s="11">
        <f t="shared" si="25"/>
        <v>0</v>
      </c>
      <c r="V152" s="44">
        <f>+L152-Budget!L159</f>
        <v>252</v>
      </c>
    </row>
    <row r="153" spans="1:22" ht="20.100000000000001" customHeight="1" outlineLevel="2" x14ac:dyDescent="0.2">
      <c r="A153" s="51" t="s">
        <v>134</v>
      </c>
      <c r="B153" s="12">
        <v>637750</v>
      </c>
      <c r="C153" s="12" t="s">
        <v>129</v>
      </c>
      <c r="D153" s="22"/>
      <c r="E153" s="26">
        <f>2</f>
        <v>2</v>
      </c>
      <c r="F153" s="22"/>
      <c r="G153" s="26"/>
      <c r="H153" s="22"/>
      <c r="I153" s="4"/>
      <c r="J153" s="4"/>
      <c r="K153" s="26">
        <f t="shared" si="37"/>
        <v>0</v>
      </c>
      <c r="L153" s="39">
        <v>0</v>
      </c>
      <c r="N153" s="39"/>
      <c r="O153" s="39"/>
      <c r="P153" s="39"/>
      <c r="Q153" s="39"/>
      <c r="R153" s="39"/>
      <c r="S153" s="39"/>
      <c r="T153" s="39"/>
      <c r="U153" s="11">
        <f t="shared" si="25"/>
        <v>0</v>
      </c>
      <c r="V153" s="44">
        <f>+L153-Budget!L160</f>
        <v>0</v>
      </c>
    </row>
    <row r="154" spans="1:22" ht="20.100000000000001" customHeight="1" outlineLevel="2" x14ac:dyDescent="0.2">
      <c r="A154" s="51" t="s">
        <v>134</v>
      </c>
      <c r="B154" s="12">
        <v>637900</v>
      </c>
      <c r="C154" s="12" t="s">
        <v>16</v>
      </c>
      <c r="D154" s="22"/>
      <c r="E154" s="26">
        <f>23.28</f>
        <v>23.28</v>
      </c>
      <c r="F154" s="22"/>
      <c r="G154" s="26">
        <f>47.69</f>
        <v>47.69</v>
      </c>
      <c r="H154" s="22"/>
      <c r="I154" s="4">
        <v>13.3</v>
      </c>
      <c r="J154" s="4">
        <v>0</v>
      </c>
      <c r="K154" s="26">
        <f t="shared" si="37"/>
        <v>13.3</v>
      </c>
      <c r="L154" s="39">
        <v>0</v>
      </c>
      <c r="N154" s="39"/>
      <c r="O154" s="39"/>
      <c r="P154" s="39"/>
      <c r="Q154" s="39"/>
      <c r="R154" s="39"/>
      <c r="S154" s="39"/>
      <c r="T154" s="39"/>
      <c r="U154" s="11">
        <f t="shared" si="25"/>
        <v>0</v>
      </c>
      <c r="V154" s="44">
        <f>+L154-Budget!L161</f>
        <v>0</v>
      </c>
    </row>
    <row r="155" spans="1:22" ht="20.100000000000001" customHeight="1" outlineLevel="2" x14ac:dyDescent="0.2">
      <c r="A155" s="51" t="s">
        <v>134</v>
      </c>
      <c r="B155" s="12">
        <v>638100</v>
      </c>
      <c r="C155" s="12" t="s">
        <v>174</v>
      </c>
      <c r="D155" s="22"/>
      <c r="E155" s="26">
        <f>1126.89</f>
        <v>1126.8900000000001</v>
      </c>
      <c r="F155" s="22"/>
      <c r="G155" s="26"/>
      <c r="H155" s="22"/>
      <c r="I155" s="4">
        <v>182.41</v>
      </c>
      <c r="J155" s="4">
        <v>0</v>
      </c>
      <c r="K155" s="26">
        <f t="shared" si="37"/>
        <v>182.41</v>
      </c>
      <c r="L155" s="39">
        <v>0</v>
      </c>
      <c r="N155" s="39"/>
      <c r="O155" s="39"/>
      <c r="P155" s="39"/>
      <c r="Q155" s="39"/>
      <c r="R155" s="39"/>
      <c r="S155" s="39"/>
      <c r="T155" s="39"/>
      <c r="U155" s="11">
        <f t="shared" si="25"/>
        <v>0</v>
      </c>
      <c r="V155" s="44">
        <f>+L155-Budget!L162</f>
        <v>0</v>
      </c>
    </row>
    <row r="156" spans="1:22" ht="20.100000000000001" customHeight="1" outlineLevel="2" x14ac:dyDescent="0.2">
      <c r="A156" s="51" t="s">
        <v>134</v>
      </c>
      <c r="B156" s="12">
        <v>638200</v>
      </c>
      <c r="C156" s="12" t="s">
        <v>175</v>
      </c>
      <c r="D156" s="22"/>
      <c r="E156" s="26">
        <v>0</v>
      </c>
      <c r="F156" s="22"/>
      <c r="G156" s="26">
        <f>1346.64</f>
        <v>1346.64</v>
      </c>
      <c r="H156" s="22"/>
      <c r="I156" s="4"/>
      <c r="J156" s="4"/>
      <c r="K156" s="26">
        <f t="shared" si="37"/>
        <v>0</v>
      </c>
      <c r="L156" s="39">
        <v>0</v>
      </c>
      <c r="N156" s="39"/>
      <c r="O156" s="39"/>
      <c r="P156" s="39"/>
      <c r="Q156" s="39"/>
      <c r="R156" s="39"/>
      <c r="S156" s="39"/>
      <c r="T156" s="39"/>
      <c r="U156" s="11">
        <f t="shared" si="25"/>
        <v>0</v>
      </c>
      <c r="V156" s="44">
        <f>+L156-Budget!L163</f>
        <v>0</v>
      </c>
    </row>
    <row r="157" spans="1:22" ht="20.100000000000001" customHeight="1" outlineLevel="2" x14ac:dyDescent="0.2">
      <c r="A157" s="51" t="s">
        <v>134</v>
      </c>
      <c r="B157" s="12">
        <v>650100</v>
      </c>
      <c r="C157" s="12" t="s">
        <v>18</v>
      </c>
      <c r="D157" s="22"/>
      <c r="E157" s="26">
        <f>3414.36</f>
        <v>3414.36</v>
      </c>
      <c r="F157" s="22"/>
      <c r="G157" s="26">
        <f>1448.21</f>
        <v>1448.21</v>
      </c>
      <c r="H157" s="22"/>
      <c r="I157" s="4">
        <v>1522.95</v>
      </c>
      <c r="J157" s="4">
        <v>0</v>
      </c>
      <c r="K157" s="26">
        <f t="shared" si="37"/>
        <v>1522.95</v>
      </c>
      <c r="L157" s="39">
        <v>1550</v>
      </c>
      <c r="N157" s="39"/>
      <c r="O157" s="39"/>
      <c r="P157" s="39">
        <v>1550</v>
      </c>
      <c r="Q157" s="39"/>
      <c r="R157" s="39"/>
      <c r="S157" s="39"/>
      <c r="T157" s="39"/>
      <c r="U157" s="11">
        <f t="shared" si="25"/>
        <v>0</v>
      </c>
      <c r="V157" s="44">
        <f>+L157-Budget!L164</f>
        <v>1550</v>
      </c>
    </row>
    <row r="158" spans="1:22" ht="20.100000000000001" customHeight="1" outlineLevel="2" x14ac:dyDescent="0.2">
      <c r="A158" s="51" t="s">
        <v>134</v>
      </c>
      <c r="B158" s="12">
        <v>699000</v>
      </c>
      <c r="C158" s="12" t="s">
        <v>19</v>
      </c>
      <c r="D158" s="22"/>
      <c r="E158" s="26">
        <v>1245.0999999999999</v>
      </c>
      <c r="F158" s="22"/>
      <c r="G158" s="26">
        <f>904.8</f>
        <v>904.8</v>
      </c>
      <c r="H158" s="22"/>
      <c r="I158" s="4">
        <v>2382</v>
      </c>
      <c r="J158" s="4">
        <v>0</v>
      </c>
      <c r="K158" s="26">
        <f t="shared" si="37"/>
        <v>2382</v>
      </c>
      <c r="L158" s="39">
        <v>500</v>
      </c>
      <c r="N158" s="39">
        <v>100</v>
      </c>
      <c r="O158" s="39"/>
      <c r="P158" s="39">
        <v>200</v>
      </c>
      <c r="Q158" s="39">
        <v>100</v>
      </c>
      <c r="R158" s="39">
        <v>100</v>
      </c>
      <c r="S158" s="39"/>
      <c r="T158" s="39"/>
      <c r="U158" s="11">
        <f t="shared" si="25"/>
        <v>0</v>
      </c>
      <c r="V158" s="44">
        <f>+L158-Budget!L167</f>
        <v>500</v>
      </c>
    </row>
    <row r="159" spans="1:22" ht="20.100000000000001" customHeight="1" outlineLevel="2" x14ac:dyDescent="0.2">
      <c r="A159" s="51" t="s">
        <v>134</v>
      </c>
      <c r="B159" s="12">
        <v>699100</v>
      </c>
      <c r="C159" s="12" t="s">
        <v>20</v>
      </c>
      <c r="D159" s="22"/>
      <c r="E159" s="26">
        <f>764.28</f>
        <v>764.28</v>
      </c>
      <c r="F159" s="22"/>
      <c r="G159" s="26"/>
      <c r="H159" s="22"/>
      <c r="I159" s="4"/>
      <c r="J159" s="4"/>
      <c r="K159" s="26">
        <f t="shared" si="37"/>
        <v>0</v>
      </c>
      <c r="L159" s="39"/>
      <c r="N159" s="39"/>
      <c r="O159" s="39"/>
      <c r="P159" s="39"/>
      <c r="Q159" s="39"/>
      <c r="R159" s="39"/>
      <c r="S159" s="39"/>
      <c r="T159" s="39"/>
      <c r="U159" s="11">
        <f t="shared" si="25"/>
        <v>0</v>
      </c>
      <c r="V159" s="44">
        <f>+L159-Budget!L168</f>
        <v>0</v>
      </c>
    </row>
    <row r="160" spans="1:22" s="6" customFormat="1" ht="20.100000000000001" customHeight="1" outlineLevel="1" thickBot="1" x14ac:dyDescent="0.25">
      <c r="A160" s="50" t="s">
        <v>161</v>
      </c>
      <c r="B160" s="1"/>
      <c r="C160" s="1"/>
      <c r="D160" s="29">
        <v>7775</v>
      </c>
      <c r="E160" s="30">
        <f>SUBTOTAL(9,E146:E159)</f>
        <v>18939.809999999998</v>
      </c>
      <c r="F160" s="29">
        <v>7775</v>
      </c>
      <c r="G160" s="30">
        <f>SUBTOTAL(9,G146:G159)</f>
        <v>6302.5700000000006</v>
      </c>
      <c r="H160" s="29">
        <v>4135</v>
      </c>
      <c r="I160" s="31">
        <f>SUBTOTAL(9,I146:I159)</f>
        <v>6163.88</v>
      </c>
      <c r="J160" s="31">
        <f>SUBTOTAL(9,J146:J159)</f>
        <v>1310</v>
      </c>
      <c r="K160" s="30">
        <f>SUBTOTAL(9,K146:K159)</f>
        <v>7473.88</v>
      </c>
      <c r="L160" s="40">
        <f>SUBTOTAL(9,L146:L159)</f>
        <v>5142</v>
      </c>
      <c r="N160" s="40">
        <f t="shared" ref="N160:T160" si="38">SUBTOTAL(9,N146:N159)</f>
        <v>925</v>
      </c>
      <c r="O160" s="40">
        <f t="shared" si="38"/>
        <v>0</v>
      </c>
      <c r="P160" s="40">
        <f t="shared" si="38"/>
        <v>2200</v>
      </c>
      <c r="Q160" s="40">
        <f t="shared" si="38"/>
        <v>352</v>
      </c>
      <c r="R160" s="40">
        <f t="shared" si="38"/>
        <v>1165</v>
      </c>
      <c r="S160" s="40">
        <f t="shared" si="38"/>
        <v>500</v>
      </c>
      <c r="T160" s="40">
        <f t="shared" si="38"/>
        <v>0</v>
      </c>
      <c r="U160" s="11">
        <f t="shared" si="25"/>
        <v>0</v>
      </c>
      <c r="V160" s="44">
        <f>+L160-Budget!L169</f>
        <v>4217</v>
      </c>
    </row>
    <row r="161" spans="1:20" s="6" customFormat="1" ht="20.100000000000001" customHeight="1" x14ac:dyDescent="0.2">
      <c r="A161" s="52" t="s">
        <v>2</v>
      </c>
      <c r="B161" s="1"/>
      <c r="C161" s="1"/>
      <c r="D161" s="21">
        <f t="shared" ref="D161:L161" si="39">SUBTOTAL(9,D60:D160)</f>
        <v>750040</v>
      </c>
      <c r="E161" s="25">
        <f t="shared" si="39"/>
        <v>872579.59</v>
      </c>
      <c r="F161" s="21">
        <f t="shared" si="39"/>
        <v>750040</v>
      </c>
      <c r="G161" s="25">
        <f t="shared" si="39"/>
        <v>808090.67</v>
      </c>
      <c r="H161" s="21">
        <f t="shared" si="39"/>
        <v>842995.41999999993</v>
      </c>
      <c r="I161" s="14">
        <f t="shared" si="39"/>
        <v>783872.18999999983</v>
      </c>
      <c r="J161" s="14">
        <f t="shared" si="39"/>
        <v>122749.42744733335</v>
      </c>
      <c r="K161" s="25">
        <f t="shared" si="39"/>
        <v>906621.61744733329</v>
      </c>
      <c r="L161" s="13">
        <f t="shared" si="39"/>
        <v>1066646</v>
      </c>
      <c r="N161" s="13">
        <f t="shared" ref="N161:S161" si="40">SUBTOTAL(9,N60:N160)</f>
        <v>41854</v>
      </c>
      <c r="O161" s="13">
        <f t="shared" ref="O161" si="41">SUBTOTAL(9,O60:O160)</f>
        <v>33200</v>
      </c>
      <c r="P161" s="13">
        <f t="shared" si="40"/>
        <v>176599</v>
      </c>
      <c r="Q161" s="13">
        <f t="shared" ref="Q161" si="42">SUBTOTAL(9,Q60:Q160)</f>
        <v>36691</v>
      </c>
      <c r="R161" s="13">
        <f t="shared" si="40"/>
        <v>550361</v>
      </c>
      <c r="S161" s="13">
        <f t="shared" si="40"/>
        <v>147538</v>
      </c>
      <c r="T161" s="13">
        <f t="shared" ref="T161" si="43">SUBTOTAL(9,T60:T160)</f>
        <v>33750</v>
      </c>
    </row>
    <row r="162" spans="1:20" s="6" customFormat="1" ht="20.100000000000001" customHeight="1" thickBot="1" x14ac:dyDescent="0.25">
      <c r="A162" s="53" t="s">
        <v>177</v>
      </c>
      <c r="D162" s="32">
        <f t="shared" ref="D162:L162" si="44">+D57-D161</f>
        <v>7260</v>
      </c>
      <c r="E162" s="33">
        <f t="shared" si="44"/>
        <v>-101213.3600000001</v>
      </c>
      <c r="F162" s="32">
        <f t="shared" si="44"/>
        <v>7260</v>
      </c>
      <c r="G162" s="33">
        <f t="shared" si="44"/>
        <v>71632.430000000168</v>
      </c>
      <c r="H162" s="32">
        <f t="shared" si="44"/>
        <v>-22495.419999999925</v>
      </c>
      <c r="I162" s="34">
        <f t="shared" si="44"/>
        <v>-100733.85999999987</v>
      </c>
      <c r="J162" s="34">
        <f t="shared" si="44"/>
        <v>385448.91255266668</v>
      </c>
      <c r="K162" s="33">
        <f t="shared" si="44"/>
        <v>284715.05255266686</v>
      </c>
      <c r="L162" s="41">
        <f t="shared" si="44"/>
        <v>-147862</v>
      </c>
    </row>
    <row r="163" spans="1:20" ht="20.100000000000001" customHeight="1" thickTop="1" x14ac:dyDescent="0.2">
      <c r="D163" s="8"/>
      <c r="E163" s="8"/>
      <c r="F163" s="5"/>
      <c r="G163" s="5"/>
      <c r="H163" s="5"/>
      <c r="L163" s="8"/>
    </row>
    <row r="164" spans="1:20" ht="20.100000000000001" customHeight="1" x14ac:dyDescent="0.2">
      <c r="A164" s="6" t="s">
        <v>245</v>
      </c>
      <c r="D164" s="8"/>
      <c r="E164" s="8"/>
      <c r="F164" s="5"/>
      <c r="G164" s="5"/>
      <c r="H164" s="5"/>
      <c r="L164" s="8"/>
    </row>
    <row r="165" spans="1:20" ht="20.100000000000001" customHeight="1" x14ac:dyDescent="0.2">
      <c r="A165" s="47" t="s">
        <v>244</v>
      </c>
      <c r="D165" s="8"/>
      <c r="E165" s="8"/>
      <c r="F165" s="5"/>
      <c r="G165" s="5"/>
      <c r="H165" s="5"/>
      <c r="L165" s="48">
        <f>+N161+O161+P161+Q161+T161</f>
        <v>322094</v>
      </c>
    </row>
    <row r="166" spans="1:20" ht="20.100000000000001" customHeight="1" x14ac:dyDescent="0.2">
      <c r="A166" s="47" t="s">
        <v>246</v>
      </c>
      <c r="D166" s="8"/>
      <c r="E166" s="8"/>
      <c r="F166" s="5"/>
      <c r="G166" s="5"/>
      <c r="H166" s="5"/>
      <c r="L166" s="48">
        <f>+R161</f>
        <v>550361</v>
      </c>
    </row>
    <row r="167" spans="1:20" ht="20.100000000000001" customHeight="1" x14ac:dyDescent="0.2">
      <c r="A167" s="47" t="s">
        <v>247</v>
      </c>
      <c r="D167" s="8"/>
      <c r="E167" s="8"/>
      <c r="F167" s="5"/>
      <c r="G167" s="5"/>
      <c r="H167" s="5"/>
      <c r="L167" s="48">
        <f>+S161</f>
        <v>147538</v>
      </c>
    </row>
    <row r="168" spans="1:20" ht="20.100000000000001" customHeight="1" thickBot="1" x14ac:dyDescent="0.25">
      <c r="D168" s="8"/>
      <c r="E168" s="8"/>
      <c r="F168" s="5"/>
      <c r="G168" s="5"/>
      <c r="H168" s="5"/>
      <c r="L168" s="46">
        <f>+SUM(L165:L167)</f>
        <v>1019993</v>
      </c>
    </row>
    <row r="169" spans="1:20" ht="20.100000000000001" customHeight="1" thickTop="1" x14ac:dyDescent="0.2">
      <c r="D169" s="8"/>
      <c r="E169" s="8"/>
      <c r="F169" s="5"/>
      <c r="G169" s="5"/>
      <c r="H169" s="5"/>
      <c r="L169" s="8"/>
    </row>
    <row r="170" spans="1:20" ht="20.100000000000001" customHeight="1" x14ac:dyDescent="0.2">
      <c r="D170" s="8"/>
      <c r="E170" s="8"/>
      <c r="F170" s="5"/>
      <c r="G170" s="5"/>
      <c r="H170" s="5"/>
      <c r="L170" s="8"/>
    </row>
    <row r="171" spans="1:20" ht="20.100000000000001" customHeight="1" x14ac:dyDescent="0.2">
      <c r="D171" s="8"/>
      <c r="E171" s="8"/>
      <c r="F171" s="5"/>
      <c r="G171" s="5"/>
      <c r="H171" s="5"/>
      <c r="L171" s="8"/>
    </row>
    <row r="172" spans="1:20" ht="20.100000000000001" customHeight="1" x14ac:dyDescent="0.2">
      <c r="D172" s="8"/>
      <c r="E172" s="8"/>
      <c r="F172" s="5"/>
      <c r="G172" s="5"/>
      <c r="H172" s="5"/>
      <c r="L172" s="8"/>
    </row>
    <row r="173" spans="1:20" ht="20.100000000000001" customHeight="1" x14ac:dyDescent="0.2">
      <c r="D173" s="8"/>
      <c r="E173" s="8"/>
      <c r="F173" s="5"/>
      <c r="G173" s="5"/>
      <c r="H173" s="5"/>
      <c r="L173" s="8"/>
    </row>
    <row r="174" spans="1:20" ht="20.100000000000001" customHeight="1" x14ac:dyDescent="0.2">
      <c r="D174" s="8"/>
      <c r="E174" s="8"/>
      <c r="F174" s="5"/>
      <c r="G174" s="5"/>
      <c r="H174" s="5"/>
      <c r="L174" s="8"/>
    </row>
    <row r="175" spans="1:20" ht="20.100000000000001" customHeight="1" x14ac:dyDescent="0.2">
      <c r="D175" s="8"/>
      <c r="E175" s="8"/>
      <c r="F175" s="5"/>
      <c r="G175" s="5"/>
      <c r="H175" s="5"/>
      <c r="L175" s="8"/>
    </row>
    <row r="176" spans="1:20" ht="20.100000000000001" customHeight="1" x14ac:dyDescent="0.2">
      <c r="D176" s="8"/>
      <c r="E176" s="8"/>
      <c r="F176" s="5"/>
      <c r="G176" s="5"/>
      <c r="H176" s="5"/>
      <c r="L176" s="8"/>
    </row>
    <row r="177" spans="4:12" ht="20.100000000000001" customHeight="1" x14ac:dyDescent="0.2">
      <c r="D177" s="8"/>
      <c r="E177" s="8"/>
      <c r="F177" s="5"/>
      <c r="G177" s="5"/>
      <c r="H177" s="5"/>
      <c r="L177" s="8"/>
    </row>
    <row r="178" spans="4:12" ht="20.100000000000001" customHeight="1" x14ac:dyDescent="0.2">
      <c r="D178" s="8"/>
      <c r="E178" s="8"/>
      <c r="F178" s="5"/>
      <c r="G178" s="5"/>
      <c r="H178" s="5"/>
      <c r="L178" s="8"/>
    </row>
    <row r="179" spans="4:12" ht="20.100000000000001" customHeight="1" x14ac:dyDescent="0.2">
      <c r="D179" s="8"/>
      <c r="E179" s="8"/>
      <c r="F179" s="5"/>
      <c r="G179" s="5"/>
      <c r="H179" s="5"/>
      <c r="L179" s="8"/>
    </row>
    <row r="180" spans="4:12" ht="20.100000000000001" customHeight="1" x14ac:dyDescent="0.2">
      <c r="D180" s="8"/>
      <c r="E180" s="8"/>
      <c r="F180" s="5"/>
      <c r="G180" s="5"/>
      <c r="H180" s="5"/>
      <c r="L180" s="8"/>
    </row>
    <row r="181" spans="4:12" ht="20.100000000000001" customHeight="1" x14ac:dyDescent="0.2">
      <c r="D181" s="8"/>
      <c r="E181" s="8"/>
      <c r="F181" s="5"/>
      <c r="G181" s="5"/>
      <c r="H181" s="5"/>
      <c r="L181" s="8"/>
    </row>
    <row r="182" spans="4:12" ht="20.100000000000001" customHeight="1" x14ac:dyDescent="0.2">
      <c r="D182" s="8"/>
      <c r="E182" s="8"/>
      <c r="F182" s="5"/>
      <c r="G182" s="5"/>
      <c r="H182" s="5"/>
      <c r="L182" s="8"/>
    </row>
    <row r="183" spans="4:12" ht="20.100000000000001" customHeight="1" x14ac:dyDescent="0.2">
      <c r="D183" s="8"/>
      <c r="E183" s="8"/>
      <c r="F183" s="5"/>
      <c r="G183" s="5"/>
      <c r="H183" s="5"/>
      <c r="L183" s="8"/>
    </row>
    <row r="184" spans="4:12" ht="20.100000000000001" customHeight="1" x14ac:dyDescent="0.2">
      <c r="D184" s="8"/>
      <c r="E184" s="8"/>
      <c r="F184" s="5"/>
      <c r="G184" s="5"/>
      <c r="H184" s="5"/>
      <c r="L184" s="8"/>
    </row>
    <row r="185" spans="4:12" ht="20.100000000000001" customHeight="1" x14ac:dyDescent="0.2">
      <c r="D185" s="8"/>
      <c r="E185" s="8"/>
      <c r="F185" s="5"/>
      <c r="G185" s="5"/>
      <c r="H185" s="5"/>
      <c r="L185" s="8"/>
    </row>
    <row r="186" spans="4:12" ht="20.100000000000001" customHeight="1" x14ac:dyDescent="0.2">
      <c r="D186" s="8"/>
      <c r="E186" s="8"/>
      <c r="F186" s="5"/>
      <c r="G186" s="5"/>
      <c r="H186" s="5"/>
      <c r="L186" s="8"/>
    </row>
    <row r="187" spans="4:12" ht="20.100000000000001" customHeight="1" x14ac:dyDescent="0.2">
      <c r="D187" s="8"/>
      <c r="E187" s="8"/>
      <c r="F187" s="5"/>
      <c r="G187" s="5"/>
      <c r="H187" s="5"/>
      <c r="L187" s="8"/>
    </row>
    <row r="188" spans="4:12" ht="20.100000000000001" customHeight="1" x14ac:dyDescent="0.2">
      <c r="D188" s="8"/>
      <c r="E188" s="8"/>
      <c r="F188" s="5"/>
      <c r="G188" s="5"/>
      <c r="H188" s="5"/>
      <c r="L188" s="8"/>
    </row>
    <row r="189" spans="4:12" ht="20.100000000000001" customHeight="1" x14ac:dyDescent="0.2">
      <c r="D189" s="8"/>
      <c r="E189" s="8"/>
      <c r="F189" s="5"/>
      <c r="G189" s="5"/>
      <c r="H189" s="5"/>
      <c r="L189" s="8"/>
    </row>
    <row r="190" spans="4:12" ht="20.100000000000001" customHeight="1" x14ac:dyDescent="0.2">
      <c r="D190" s="8"/>
      <c r="E190" s="8"/>
      <c r="F190" s="5"/>
      <c r="G190" s="5"/>
      <c r="H190" s="5"/>
      <c r="L190" s="8"/>
    </row>
    <row r="191" spans="4:12" ht="20.100000000000001" customHeight="1" x14ac:dyDescent="0.2">
      <c r="D191" s="8"/>
      <c r="E191" s="8"/>
      <c r="F191" s="5"/>
      <c r="G191" s="5"/>
      <c r="H191" s="5"/>
      <c r="L191" s="8"/>
    </row>
    <row r="192" spans="4:12" ht="20.100000000000001" customHeight="1" x14ac:dyDescent="0.2">
      <c r="D192" s="8"/>
      <c r="E192" s="8"/>
      <c r="F192" s="5"/>
      <c r="G192" s="5"/>
      <c r="H192" s="5"/>
      <c r="L192" s="8"/>
    </row>
    <row r="193" spans="4:12" ht="20.100000000000001" customHeight="1" x14ac:dyDescent="0.2">
      <c r="D193" s="8"/>
      <c r="E193" s="8"/>
      <c r="F193" s="5"/>
      <c r="G193" s="5"/>
      <c r="H193" s="5"/>
      <c r="L193" s="8"/>
    </row>
    <row r="194" spans="4:12" ht="20.100000000000001" customHeight="1" x14ac:dyDescent="0.2">
      <c r="D194" s="8"/>
      <c r="E194" s="8"/>
      <c r="F194" s="5"/>
      <c r="G194" s="5"/>
      <c r="H194" s="5"/>
      <c r="L194" s="8"/>
    </row>
    <row r="195" spans="4:12" ht="20.100000000000001" customHeight="1" x14ac:dyDescent="0.2">
      <c r="D195" s="8"/>
      <c r="E195" s="8"/>
      <c r="F195" s="5"/>
      <c r="G195" s="5"/>
      <c r="H195" s="5"/>
      <c r="L195" s="8"/>
    </row>
    <row r="196" spans="4:12" ht="20.100000000000001" customHeight="1" x14ac:dyDescent="0.2">
      <c r="D196" s="8"/>
      <c r="E196" s="8"/>
      <c r="F196" s="5"/>
      <c r="G196" s="5"/>
      <c r="H196" s="5"/>
      <c r="L196" s="8"/>
    </row>
    <row r="197" spans="4:12" ht="20.100000000000001" customHeight="1" x14ac:dyDescent="0.2">
      <c r="D197" s="8"/>
      <c r="E197" s="8"/>
      <c r="F197" s="5"/>
      <c r="G197" s="5"/>
      <c r="H197" s="5"/>
      <c r="L197" s="8"/>
    </row>
    <row r="198" spans="4:12" ht="20.100000000000001" customHeight="1" x14ac:dyDescent="0.2">
      <c r="D198" s="8"/>
      <c r="E198" s="8"/>
      <c r="F198" s="5"/>
      <c r="G198" s="5"/>
      <c r="H198" s="5"/>
      <c r="L198" s="8"/>
    </row>
    <row r="199" spans="4:12" ht="20.100000000000001" customHeight="1" x14ac:dyDescent="0.2">
      <c r="D199" s="8"/>
      <c r="E199" s="8"/>
      <c r="F199" s="5"/>
      <c r="G199" s="5"/>
      <c r="H199" s="5"/>
      <c r="L199" s="8"/>
    </row>
    <row r="200" spans="4:12" ht="20.100000000000001" customHeight="1" x14ac:dyDescent="0.2">
      <c r="D200" s="8"/>
      <c r="E200" s="8"/>
      <c r="F200" s="5"/>
      <c r="G200" s="5"/>
      <c r="H200" s="5"/>
      <c r="L200" s="8"/>
    </row>
    <row r="201" spans="4:12" ht="20.100000000000001" customHeight="1" x14ac:dyDescent="0.2">
      <c r="D201" s="8"/>
      <c r="E201" s="8"/>
      <c r="F201" s="5"/>
      <c r="G201" s="5"/>
      <c r="H201" s="5"/>
      <c r="L201" s="8"/>
    </row>
    <row r="202" spans="4:12" ht="20.100000000000001" customHeight="1" x14ac:dyDescent="0.2">
      <c r="D202" s="8"/>
      <c r="E202" s="8"/>
      <c r="F202" s="5"/>
      <c r="G202" s="5"/>
      <c r="H202" s="5"/>
      <c r="L202" s="8"/>
    </row>
    <row r="203" spans="4:12" ht="20.100000000000001" customHeight="1" x14ac:dyDescent="0.2">
      <c r="D203" s="8"/>
      <c r="E203" s="8"/>
      <c r="F203" s="5"/>
      <c r="G203" s="5"/>
      <c r="H203" s="5"/>
      <c r="L203" s="8"/>
    </row>
    <row r="204" spans="4:12" ht="20.100000000000001" customHeight="1" x14ac:dyDescent="0.2">
      <c r="D204" s="8"/>
      <c r="E204" s="8"/>
      <c r="F204" s="5"/>
      <c r="G204" s="5"/>
      <c r="H204" s="5"/>
      <c r="L204" s="8"/>
    </row>
    <row r="205" spans="4:12" ht="20.100000000000001" customHeight="1" x14ac:dyDescent="0.2">
      <c r="D205" s="8"/>
      <c r="E205" s="8"/>
      <c r="F205" s="5"/>
      <c r="G205" s="5"/>
      <c r="H205" s="5"/>
      <c r="L205" s="8"/>
    </row>
    <row r="206" spans="4:12" ht="20.100000000000001" customHeight="1" x14ac:dyDescent="0.2">
      <c r="D206" s="8"/>
      <c r="E206" s="8"/>
      <c r="F206" s="5"/>
      <c r="G206" s="5"/>
      <c r="H206" s="5"/>
      <c r="L206" s="8"/>
    </row>
    <row r="207" spans="4:12" ht="20.100000000000001" customHeight="1" x14ac:dyDescent="0.2">
      <c r="D207" s="8"/>
      <c r="E207" s="8"/>
      <c r="F207" s="5"/>
      <c r="G207" s="5"/>
      <c r="H207" s="5"/>
      <c r="L207" s="8"/>
    </row>
    <row r="208" spans="4:12" ht="20.100000000000001" customHeight="1" x14ac:dyDescent="0.2">
      <c r="D208" s="8"/>
      <c r="E208" s="8"/>
      <c r="F208" s="5"/>
      <c r="G208" s="5"/>
      <c r="H208" s="5"/>
      <c r="L208" s="8"/>
    </row>
    <row r="209" spans="4:12" ht="20.100000000000001" customHeight="1" x14ac:dyDescent="0.2">
      <c r="D209" s="8"/>
      <c r="E209" s="8"/>
      <c r="F209" s="5"/>
      <c r="G209" s="5"/>
      <c r="H209" s="5"/>
      <c r="L209" s="8"/>
    </row>
    <row r="210" spans="4:12" ht="20.100000000000001" customHeight="1" x14ac:dyDescent="0.2">
      <c r="D210" s="8"/>
      <c r="E210" s="8"/>
      <c r="F210" s="5"/>
      <c r="G210" s="5"/>
      <c r="H210" s="5"/>
      <c r="L210" s="8"/>
    </row>
    <row r="211" spans="4:12" ht="20.100000000000001" customHeight="1" x14ac:dyDescent="0.2">
      <c r="D211" s="8"/>
      <c r="E211" s="8"/>
      <c r="F211" s="5"/>
      <c r="G211" s="5"/>
      <c r="H211" s="5"/>
      <c r="L211" s="8"/>
    </row>
    <row r="212" spans="4:12" ht="20.100000000000001" customHeight="1" x14ac:dyDescent="0.2">
      <c r="D212" s="8"/>
      <c r="E212" s="8"/>
      <c r="F212" s="5"/>
      <c r="G212" s="5"/>
      <c r="H212" s="5"/>
      <c r="L212" s="8"/>
    </row>
    <row r="213" spans="4:12" ht="20.100000000000001" customHeight="1" x14ac:dyDescent="0.2">
      <c r="D213" s="8"/>
      <c r="E213" s="8"/>
      <c r="F213" s="5"/>
      <c r="G213" s="5"/>
      <c r="H213" s="5"/>
      <c r="L213" s="8"/>
    </row>
    <row r="214" spans="4:12" ht="20.100000000000001" customHeight="1" x14ac:dyDescent="0.2">
      <c r="D214" s="8"/>
      <c r="E214" s="8"/>
      <c r="F214" s="5"/>
      <c r="G214" s="5"/>
      <c r="H214" s="5"/>
      <c r="L214" s="8"/>
    </row>
    <row r="215" spans="4:12" ht="20.100000000000001" customHeight="1" x14ac:dyDescent="0.2">
      <c r="D215" s="8"/>
      <c r="E215" s="8"/>
      <c r="F215" s="5"/>
      <c r="G215" s="5"/>
      <c r="H215" s="5"/>
      <c r="L215" s="8"/>
    </row>
    <row r="216" spans="4:12" ht="20.100000000000001" customHeight="1" x14ac:dyDescent="0.2">
      <c r="D216" s="8"/>
      <c r="E216" s="8"/>
      <c r="F216" s="5"/>
      <c r="G216" s="5"/>
      <c r="H216" s="5"/>
      <c r="L216" s="8"/>
    </row>
    <row r="217" spans="4:12" ht="20.100000000000001" customHeight="1" x14ac:dyDescent="0.2">
      <c r="D217" s="8"/>
      <c r="E217" s="8"/>
      <c r="F217" s="5"/>
      <c r="G217" s="5"/>
      <c r="H217" s="5"/>
      <c r="L217" s="8"/>
    </row>
    <row r="218" spans="4:12" ht="20.100000000000001" customHeight="1" x14ac:dyDescent="0.2">
      <c r="D218" s="8"/>
      <c r="E218" s="8"/>
      <c r="F218" s="5"/>
      <c r="G218" s="5"/>
      <c r="H218" s="5"/>
      <c r="L218" s="8"/>
    </row>
    <row r="219" spans="4:12" ht="20.100000000000001" customHeight="1" x14ac:dyDescent="0.2">
      <c r="D219" s="8"/>
      <c r="E219" s="8"/>
      <c r="F219" s="5"/>
      <c r="G219" s="5"/>
      <c r="H219" s="5"/>
      <c r="L219" s="8"/>
    </row>
    <row r="220" spans="4:12" ht="20.100000000000001" customHeight="1" x14ac:dyDescent="0.2">
      <c r="D220" s="8"/>
      <c r="E220" s="8"/>
      <c r="F220" s="5"/>
      <c r="G220" s="5"/>
      <c r="H220" s="5"/>
      <c r="L220" s="8"/>
    </row>
    <row r="221" spans="4:12" ht="20.100000000000001" customHeight="1" x14ac:dyDescent="0.2">
      <c r="D221" s="8"/>
      <c r="E221" s="8"/>
      <c r="F221" s="5"/>
      <c r="G221" s="5"/>
      <c r="H221" s="5"/>
      <c r="L221" s="8"/>
    </row>
    <row r="222" spans="4:12" ht="20.100000000000001" customHeight="1" x14ac:dyDescent="0.2">
      <c r="D222" s="8"/>
      <c r="E222" s="8"/>
      <c r="F222" s="5"/>
      <c r="G222" s="5"/>
      <c r="H222" s="5"/>
      <c r="L222" s="8"/>
    </row>
    <row r="223" spans="4:12" ht="20.100000000000001" customHeight="1" x14ac:dyDescent="0.2">
      <c r="D223" s="8"/>
      <c r="E223" s="8"/>
      <c r="F223" s="5"/>
      <c r="G223" s="5"/>
      <c r="H223" s="5"/>
      <c r="L223" s="8"/>
    </row>
    <row r="224" spans="4:12" ht="20.100000000000001" customHeight="1" x14ac:dyDescent="0.2">
      <c r="D224" s="8"/>
      <c r="E224" s="8"/>
      <c r="F224" s="5"/>
      <c r="G224" s="5"/>
      <c r="H224" s="5"/>
      <c r="L224" s="8"/>
    </row>
    <row r="225" spans="4:12" ht="20.100000000000001" customHeight="1" x14ac:dyDescent="0.2">
      <c r="D225" s="8"/>
      <c r="E225" s="8"/>
      <c r="F225" s="5"/>
      <c r="G225" s="5"/>
      <c r="H225" s="5"/>
      <c r="L225" s="8"/>
    </row>
    <row r="226" spans="4:12" ht="20.100000000000001" customHeight="1" x14ac:dyDescent="0.2">
      <c r="D226" s="8"/>
      <c r="E226" s="8"/>
      <c r="F226" s="5"/>
      <c r="G226" s="5"/>
      <c r="H226" s="5"/>
      <c r="L226" s="8"/>
    </row>
    <row r="227" spans="4:12" ht="20.100000000000001" customHeight="1" x14ac:dyDescent="0.2">
      <c r="D227" s="8"/>
      <c r="E227" s="8"/>
      <c r="F227" s="5"/>
      <c r="G227" s="5"/>
      <c r="H227" s="5"/>
      <c r="L227" s="8"/>
    </row>
    <row r="228" spans="4:12" ht="20.100000000000001" customHeight="1" x14ac:dyDescent="0.2">
      <c r="D228" s="8"/>
      <c r="E228" s="8"/>
      <c r="F228" s="5"/>
      <c r="G228" s="5"/>
      <c r="H228" s="5"/>
      <c r="L228" s="8"/>
    </row>
    <row r="229" spans="4:12" ht="20.100000000000001" customHeight="1" x14ac:dyDescent="0.2">
      <c r="D229" s="8"/>
      <c r="E229" s="8"/>
      <c r="F229" s="5"/>
      <c r="G229" s="5"/>
      <c r="H229" s="5"/>
      <c r="L229" s="8"/>
    </row>
    <row r="230" spans="4:12" ht="20.100000000000001" customHeight="1" x14ac:dyDescent="0.2">
      <c r="D230" s="8"/>
      <c r="E230" s="8"/>
      <c r="F230" s="5"/>
      <c r="G230" s="5"/>
      <c r="H230" s="5"/>
      <c r="L230" s="8"/>
    </row>
  </sheetData>
  <mergeCells count="1">
    <mergeCell ref="D1:L1"/>
  </mergeCells>
  <pageMargins left="0.7" right="0.7" top="0.5" bottom="0.5" header="0.3" footer="0.3"/>
  <pageSetup scale="22" orientation="portrait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8E20198BF6AE41AE0B7FBD2D8DA95F" ma:contentTypeVersion="8" ma:contentTypeDescription="Create a new document." ma:contentTypeScope="" ma:versionID="2f9d08b5493bcc71f6c5698625b25c1f">
  <xsd:schema xmlns:xsd="http://www.w3.org/2001/XMLSchema" xmlns:xs="http://www.w3.org/2001/XMLSchema" xmlns:p="http://schemas.microsoft.com/office/2006/metadata/properties" xmlns:ns3="58a0460f-4c33-4359-8d84-d7ce535657b0" targetNamespace="http://schemas.microsoft.com/office/2006/metadata/properties" ma:root="true" ma:fieldsID="0577d462c0aeb6b5c07ad668cbc999ee" ns3:_="">
    <xsd:import namespace="58a0460f-4c33-4359-8d84-d7ce535657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a0460f-4c33-4359-8d84-d7ce535657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DDF619-7138-4C0C-A70F-6B739DD0AC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a0460f-4c33-4359-8d84-d7ce535657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9821A0-C932-45B4-8876-481040F84D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384D17-0914-4205-A4BD-52762CEE0971}">
  <ds:schemaRefs>
    <ds:schemaRef ds:uri="http://schemas.microsoft.com/office/2006/documentManagement/types"/>
    <ds:schemaRef ds:uri="58a0460f-4c33-4359-8d84-d7ce535657b0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</vt:lpstr>
      <vt:lpstr>Payroll</vt:lpstr>
      <vt:lpstr>Public</vt:lpstr>
      <vt:lpstr>Budget!Print_Titles</vt:lpstr>
      <vt:lpstr>Public!Print_Titles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Kimberly Vinson</cp:lastModifiedBy>
  <cp:lastPrinted>2023-05-27T21:59:18Z</cp:lastPrinted>
  <dcterms:created xsi:type="dcterms:W3CDTF">2022-04-27T17:50:35Z</dcterms:created>
  <dcterms:modified xsi:type="dcterms:W3CDTF">2023-06-07T00:48:44Z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0x0101004F8E20198BF6AE41AE0B7FBD2D8DA95F</vt:lpwstr>
  </property>
</Properties>
</file>